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aVXiyYv0xD7TVBBiuZ1Awuibp6ZRiDNsPobOC8kMJPC7wJQs5vrNLQxzM+IPG/yIwbwaNuPWKj30UBECqIF9bw==" workbookSaltValue="qK0wCyXOAVt7DzjB5PvE7w=="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<sst xmlns="http://schemas.openxmlformats.org/spreadsheetml/2006/main" count="2178" uniqueCount="508">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</sst>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1</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1</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0.81820000000000004</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0.83330000000000004</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0.90910000000000002</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0.4</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0.16669999999999999</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0.24440000000000001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0.38300000000000001</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0.34360000000000002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0.1489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7.1999999999999998E-3</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0.89159999999999995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1.2E-2</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0.875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0.8</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0.16669999999999999</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0.83330000000000004</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0</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1</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0.83330000000000004</c:v>
                </c:pt>
                <c:pt idx="3">
                  <c:v>0</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c:v>
                </c:pt>
                <c:pt idx="3">
                  <c:v>1.2E-2</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0.125</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0.36170000000000002</c:v>
                </c:pt>
                <c:pt idx="3">
                  <c:v>0</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0.25</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33</v>
      </c>
      <c r="B3" s="45"/>
      <c r="C3" s="45"/>
      <c r="D3" s="45"/>
      <c r="E3" s="45"/>
      <c r="F3" s="45"/>
      <c r="G3" s="45"/>
      <c r="H3" s="45"/>
      <c r="I3" s="45"/>
      <c r="J3" s="45"/>
      <c r="K3" s="45"/>
      <c r="L3" s="45"/>
      <c r="M3" s="45"/>
      <c r="N3" s="45"/>
      <c r="O3" s="13"/>
      <c r="T3" s="59"/>
      <c r="U3" s="59"/>
    </row>
    <row r="4" spans="1:21" s="12" customFormat="1" ht="11.25" x14ac:dyDescent="0.2">
      <c r="A4" s="16" t="str">
        <f>+VLOOKUP(A3,Data!A1:CM89,2,FALSE)</f>
        <v>446 Country Club Road</v>
      </c>
      <c r="B4" s="16"/>
      <c r="C4" s="15"/>
      <c r="D4" s="16"/>
      <c r="E4" s="15"/>
      <c r="F4" s="15"/>
      <c r="G4" s="16"/>
      <c r="H4" s="16"/>
      <c r="I4" s="16"/>
      <c r="J4" s="16"/>
      <c r="K4" s="11"/>
      <c r="L4" s="11"/>
      <c r="T4" s="11"/>
      <c r="U4" s="11"/>
    </row>
    <row r="5" spans="1:21" s="12" customFormat="1" ht="11.25" x14ac:dyDescent="0.2">
      <c r="A5" s="16" t="str">
        <f>+VLOOKUP(A3,Data!A1:CM89,3,FALSE)</f>
        <v>Blackville</v>
      </c>
      <c r="B5" s="16"/>
      <c r="C5" s="15"/>
      <c r="D5" s="16"/>
      <c r="E5" s="15"/>
      <c r="F5" s="15"/>
      <c r="G5" s="15" t="str">
        <f>+VLOOKUP(A3,Data!A1:CM89,4,FALSE)</f>
        <v>SC</v>
      </c>
      <c r="H5" s="15"/>
      <c r="I5" s="15">
        <f>+VLOOKUP(A3,Data!A1:CM89,5,FALSE)</f>
        <v>29817</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0.83330000000000004</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0.16669999999999999</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1</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0.81820000000000004</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0.83330000000000004</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1</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0.90910000000000002</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1</v>
      </c>
      <c r="H34" s="83" t="s">
        <v>1</v>
      </c>
      <c r="I34" s="86" t="str">
        <f>IF(OR(G34="NA",G34="**"),"NA",IF(G34&lt;C34,"Not Met","Met"))</f>
        <v>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0.4</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0.16669999999999999</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t="str">
        <f>VLOOKUP(A3,Data!A1:CM89,49,FALSE)</f>
        <v>NA</v>
      </c>
      <c r="H55" s="83" t="s">
        <v>1</v>
      </c>
      <c r="I55" s="86" t="str">
        <f>IF(OR(G55="NA",G55="**"),"NA",IF(G55&lt;C55,"Not Met","Met"))</f>
        <v>NA</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t="str">
        <f>VLOOKUP(A3,Data!A1:CM89,50,FALSE)</f>
        <v>NA</v>
      </c>
      <c r="H58" s="83" t="s">
        <v>1</v>
      </c>
      <c r="I58" s="86" t="str">
        <f>IF(OR(G58="NA",G58="**"),"NA",IF(G58&lt;C58,"Not Met","Met"))</f>
        <v>NA</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t="str">
        <f>VLOOKUP(A3,Data!A1:CM89,51,FALSE)</f>
        <v>NA</v>
      </c>
      <c r="H61" s="83" t="s">
        <v>1</v>
      </c>
      <c r="I61" s="86" t="str">
        <f>IF(OR(G61="NA",G61="**"),"NA",IF(G61&lt;C61,"Not Met","Met"))</f>
        <v>NA</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t="str">
        <f>VLOOKUP(A3,Data!A1:CM89,52,FALSE)</f>
        <v>NA</v>
      </c>
      <c r="H64" s="83" t="s">
        <v>1</v>
      </c>
      <c r="I64" s="86" t="str">
        <f>IF(OR(G64="NA",G64="**"),"NA",IF(G64&lt;C64,"Not Met","Met"))</f>
        <v>NA</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t="str">
        <f>VLOOKUP(A3,Data!A1:CM89,53,FALSE)</f>
        <v>NA</v>
      </c>
      <c r="H67" s="83" t="s">
        <v>1</v>
      </c>
      <c r="I67" s="86" t="str">
        <f>IF(OR(G67="NA",G67="**"),"NA",IF(G67&lt;C67,"Not Met","Met"))</f>
        <v>NA</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0.24440000000000001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0.38300000000000001</v>
      </c>
      <c r="H76" s="83" t="s">
        <v>1</v>
      </c>
      <c r="I76" s="86" t="str">
        <f>IF(OR(G76="NA",G76="**"),"NA",IF(G76&gt;C76,"Not Met","Met"))</f>
        <v>Not 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0.34360000000000002</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0.1489</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7.1999999999999998E-3</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Yes</v>
      </c>
      <c r="H92" s="83" t="s">
        <v>1</v>
      </c>
      <c r="I92" s="86" t="str">
        <f t="shared" ref="I92" si="1">IF(OR(G92="NA",G92="**"),"NA",IF(G92="No","Met",IF(G92="Yes","Not Met")))</f>
        <v>Not 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0.89159999999999995</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1.2E-2</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0</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t="str">
        <f>VLOOKUP(A3,Data!A1:CM89,66,FALSE)</f>
        <v>NA</v>
      </c>
      <c r="H109" s="83" t="s">
        <v>1</v>
      </c>
      <c r="I109" s="86" t="str">
        <f>IF(OR(G109="NA",G109="**"),"NA",IF(G109&lt;C109,"Not Met","Met"))</f>
        <v>NA</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1</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t="str">
        <f>VLOOKUP(A3,Data!A1:CM89,75,FALSE)</f>
        <v>NA</v>
      </c>
      <c r="H138" s="83" t="s">
        <v>1</v>
      </c>
      <c r="I138" s="86" t="str">
        <f t="shared" si="3"/>
        <v>NA</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t="str">
        <f>VLOOKUP(A3,Data!A1:CM89,76,FALSE)</f>
        <v>NA</v>
      </c>
      <c r="H142" s="83" t="s">
        <v>1</v>
      </c>
      <c r="I142" s="86" t="str">
        <f t="shared" si="3"/>
        <v>NA</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t="str">
        <f>VLOOKUP(A3,Data!A1:CM89,77,FALSE)</f>
        <v>NA</v>
      </c>
      <c r="H146" s="83" t="s">
        <v>1</v>
      </c>
      <c r="I146" s="86" t="str">
        <f t="shared" si="3"/>
        <v>NA</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t="str">
        <f>VLOOKUP(A3,Data!A1:CM89,78,FALSE)</f>
        <v>NA</v>
      </c>
      <c r="H150" s="83" t="s">
        <v>1</v>
      </c>
      <c r="I150" s="86" t="str">
        <f t="shared" si="3"/>
        <v>NA</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t="str">
        <f>VLOOKUP(A3,Data!A1:CM89,79,FALSE)</f>
        <v>NA</v>
      </c>
      <c r="H154" s="83" t="s">
        <v>1</v>
      </c>
      <c r="I154" s="86" t="str">
        <f t="shared" si="3"/>
        <v>NA</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t="str">
        <f>VLOOKUP(A3,Data!A1:CM89,80,FALSE)</f>
        <v>NA</v>
      </c>
      <c r="H158" s="83" t="s">
        <v>1</v>
      </c>
      <c r="I158" s="86" t="str">
        <f t="shared" si="3"/>
        <v>NA</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0.875</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t="str">
        <f>VLOOKUP(A3,Data!A1:CM89,85,FALSE)</f>
        <v>NA</v>
      </c>
      <c r="H180" s="83" t="s">
        <v>1</v>
      </c>
      <c r="I180" s="86" t="str">
        <f t="shared" si="3"/>
        <v>NA</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0.8</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Barnwell 19</v>
      </c>
      <c r="B3" s="45"/>
      <c r="C3" s="45"/>
      <c r="D3" s="45"/>
      <c r="E3" s="45"/>
      <c r="F3" s="45"/>
      <c r="G3" s="45"/>
      <c r="H3" s="13"/>
      <c r="I3" s="13"/>
      <c r="J3" s="13"/>
    </row>
    <row r="4" spans="1:10" x14ac:dyDescent="0.2">
      <c r="A4" s="16" t="str">
        <f>VLOOKUP(A3,Data!A1:CM89,2,FALSE)</f>
        <v>446 Country Club Road</v>
      </c>
      <c r="B4" s="16"/>
      <c r="C4" s="16"/>
      <c r="D4" s="16"/>
      <c r="E4" s="16"/>
      <c r="F4" s="11"/>
      <c r="G4" s="11"/>
    </row>
    <row r="5" spans="1:10" x14ac:dyDescent="0.2">
      <c r="A5" s="16" t="str">
        <f>VLOOKUP(A3,Data!A1:CM89,3,FALSE)</f>
        <v>Blackville</v>
      </c>
      <c r="B5" s="16"/>
      <c r="C5" s="15" t="str">
        <f>VLOOKUP(A3,Data!A1:CM89,4,FALSE)</f>
        <v>SC</v>
      </c>
      <c r="D5" s="15">
        <f>VLOOKUP(A3,Data!A1:CM89,5,FALSE)</f>
        <v>29817</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0.83330000000000004</v>
      </c>
      <c r="D32" s="33"/>
      <c r="E32" s="29"/>
      <c r="F32" s="29"/>
      <c r="G32" s="29"/>
      <c r="H32" s="29"/>
      <c r="I32" s="29"/>
      <c r="J32" s="29"/>
    </row>
    <row r="33" spans="1:10" ht="11.25" customHeight="1" x14ac:dyDescent="0.2">
      <c r="A33" s="24"/>
      <c r="B33" s="52" t="s">
        <v>323</v>
      </c>
      <c r="C33" s="70">
        <f>VLOOKUP(A3,Data!A1:CM89,15,FALSE)</f>
        <v>0</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0</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and did not improve</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0</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and did not improve</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v>
      </c>
      <c r="D56" s="33"/>
      <c r="E56" s="29"/>
      <c r="F56" s="29"/>
      <c r="G56" s="29"/>
      <c r="H56" s="29"/>
      <c r="I56" s="29"/>
      <c r="J56" s="29"/>
    </row>
    <row r="57" spans="1:10" ht="11.25" customHeight="1" x14ac:dyDescent="0.2">
      <c r="A57" s="24"/>
      <c r="B57" s="52" t="s">
        <v>323</v>
      </c>
      <c r="C57" s="70">
        <f>VLOOKUP(A3,Data!A1:CM89,24,FALSE)</f>
        <v>1.2E-2</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0.125</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0.36170000000000002</v>
      </c>
      <c r="D72" s="33"/>
      <c r="E72" s="29"/>
      <c r="F72" s="29"/>
      <c r="G72" s="29"/>
      <c r="H72" s="29"/>
      <c r="I72" s="29"/>
      <c r="J72" s="29"/>
    </row>
    <row r="73" spans="1:10" ht="11.25" customHeight="1" x14ac:dyDescent="0.2">
      <c r="A73" s="24"/>
      <c r="B73" s="52" t="s">
        <v>323</v>
      </c>
      <c r="C73" s="70">
        <f>VLOOKUP(A3,Data!A1:CM89,30,FALSE)</f>
        <v>0</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0.25</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9</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9</v>
      </c>
      <c r="C87" s="51">
        <f>SUM(A87:B87)</f>
        <v>30</v>
      </c>
      <c r="D87" s="80">
        <f>VLOOKUP(A3,Data!A1:CM89,91,FALSE)</f>
        <v>42</v>
      </c>
      <c r="E87" s="51">
        <f>VLOOKUP(A3,Data!A1:CM89,34,FALSE)</f>
        <v>2</v>
      </c>
      <c r="F87" s="42">
        <f>SUM(A87,B87,E87)/D87</f>
        <v>0.76190476190476186</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2022-12-06T17:55:05Z</dcterms:modified>
</cp:coreProperties>
</file>