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J1hItLke7Ga1wzAltYDPWkk+gq8Y25Mt9LxyG+eBydkAnfZ+USibHO83KXKRevE7Ef9SZqA+p/Ax9OUXym8dZg==" workbookSaltValue="aA2NYoVramG5LOiDkBYlLw=="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<sst xmlns="http://schemas.openxmlformats.org/spreadsheetml/2006/main" count="2178" uniqueCount="508">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</sst>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0.1429</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0.71430000000000005</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0.31929999999999997</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0.26800000000000002</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0.21429999999999999</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8.3999999999999995E-3</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6.4999999999999997E-3</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0.871</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0.44900000000000001</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0.82989999999999997</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0.51019999999999999</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0.85160000000000002</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0.49230000000000002</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0.52290000000000003</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0.65310000000000001</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0.89680000000000004</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0.9556</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0.8599</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0.91159999999999997</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0.85960000000000003</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0.82640000000000002</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0.13270000000000001</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7.9500000000000001E-2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0.35460000000000003</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0.14419999999999999</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7.3599999999999999E-2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0.2722</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0.41670000000000001</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0.3448</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0.35420000000000001</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0.41670000000000001</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0.2414</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0.31369999999999998</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0.38250000000000001</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0.42480000000000001</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0.4914</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0.36230000000000001</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0.33860000000000001</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0.32329999999999998</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0.62990000000000002</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0.1053</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0.8367</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8.3299999999999999E-2</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0.45829999999999999</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0.75</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0.9</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0.29530000000000001</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0.67789999999999995</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1.2999999999999999E-2</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0.9556</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0.1099</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0.67789999999999995</c:v>
                </c:pt>
                <c:pt idx="3">
                  <c:v>0.54500000000000004</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0.114</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0.121</c:v>
                </c:pt>
                <c:pt idx="3">
                  <c:v>0.1053</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0.17760000000000001</c:v>
                </c:pt>
                <c:pt idx="3">
                  <c:v>0.2833</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9.9199999999999997E-2</c:v>
                </c:pt>
                <c:pt idx="3">
                  <c:v>7.5499999999999998E-2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0.20499999999999999</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39</v>
      </c>
      <c r="B3" s="45"/>
      <c r="C3" s="45"/>
      <c r="D3" s="45"/>
      <c r="E3" s="45"/>
      <c r="F3" s="45"/>
      <c r="G3" s="45"/>
      <c r="H3" s="45"/>
      <c r="I3" s="45"/>
      <c r="J3" s="45"/>
      <c r="K3" s="45"/>
      <c r="L3" s="45"/>
      <c r="M3" s="45"/>
      <c r="N3" s="45"/>
      <c r="O3" s="13"/>
      <c r="T3" s="59"/>
      <c r="U3" s="59"/>
    </row>
    <row r="4" spans="1:21" s="12" customFormat="1" ht="11.25" x14ac:dyDescent="0.2">
      <c r="A4" s="16" t="str">
        <f>+VLOOKUP(A3,Data!A1:CM89,2,FALSE)</f>
        <v>75 Calhoun St</v>
      </c>
      <c r="B4" s="16"/>
      <c r="C4" s="15"/>
      <c r="D4" s="16"/>
      <c r="E4" s="15"/>
      <c r="F4" s="15"/>
      <c r="G4" s="16"/>
      <c r="H4" s="16"/>
      <c r="I4" s="16"/>
      <c r="J4" s="16"/>
      <c r="K4" s="11"/>
      <c r="L4" s="11"/>
      <c r="T4" s="11"/>
      <c r="U4" s="11"/>
    </row>
    <row r="5" spans="1:21" s="12" customFormat="1" ht="11.25" x14ac:dyDescent="0.2">
      <c r="A5" s="16" t="str">
        <f>+VLOOKUP(A3,Data!A1:CM89,3,FALSE)</f>
        <v>Charleston</v>
      </c>
      <c r="B5" s="16"/>
      <c r="C5" s="15"/>
      <c r="D5" s="16"/>
      <c r="E5" s="15"/>
      <c r="F5" s="15"/>
      <c r="G5" s="15" t="str">
        <f>+VLOOKUP(A3,Data!A1:CM89,4,FALSE)</f>
        <v>SC</v>
      </c>
      <c r="H5" s="15"/>
      <c r="I5" s="15">
        <f>+VLOOKUP(A3,Data!A1:CM89,5,FALSE)</f>
        <v>29401</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0.67789999999999995</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0.29530000000000001</v>
      </c>
      <c r="H15" s="83" t="s">
        <v>1</v>
      </c>
      <c r="I15" s="86" t="str">
        <f>IF(OR(G15="NA",G15="**"),"NA",IF(G15&gt;C15,"Not Met","Met"))</f>
        <v>Not 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0.9556</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0.8599</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0.91159999999999997</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0.9556</v>
      </c>
      <c r="H28" s="83" t="s">
        <v>1</v>
      </c>
      <c r="I28" s="86" t="str">
        <f>IF(OR(G28="NA",G28="**"),"NA",IF(G28&lt;C28,"Not Met","Met"))</f>
        <v>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0.85960000000000003</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0.82640000000000002</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0.13270000000000001</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7.9500000000000001E-2</v>
      </c>
      <c r="H40" s="83" t="s">
        <v>1</v>
      </c>
      <c r="I40" s="86" t="str">
        <f>IF(OR(G40="NA",G40="**"),"NA",IF(G40&lt;C40,"Not Met","Met"))</f>
        <v>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0.35460000000000003</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0.14419999999999999</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7.3599999999999999E-2</v>
      </c>
      <c r="H49" s="83" t="s">
        <v>1</v>
      </c>
      <c r="I49" s="86" t="str">
        <f>IF(OR(G49="NA",G49="**"),"NA",IF(G49&lt;C49,"Not Met","Met"))</f>
        <v>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0.2722</v>
      </c>
      <c r="H52" s="83" t="s">
        <v>1</v>
      </c>
      <c r="I52" s="86" t="str">
        <f>IF(OR(G52="NA",G52="**"),"NA",IF(G52&lt;C52,"Not Met","Met"))</f>
        <v>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0.41670000000000001</v>
      </c>
      <c r="H55" s="83" t="s">
        <v>1</v>
      </c>
      <c r="I55" s="86" t="str">
        <f>IF(OR(G55="NA",G55="**"),"NA",IF(G55&lt;C55,"Not Met","Met"))</f>
        <v>Not 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0.3448</v>
      </c>
      <c r="H58" s="83" t="s">
        <v>1</v>
      </c>
      <c r="I58" s="86" t="str">
        <f>IF(OR(G58="NA",G58="**"),"NA",IF(G58&lt;C58,"Not Met","Met"))</f>
        <v>Not 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0.35420000000000001</v>
      </c>
      <c r="H61" s="83" t="s">
        <v>1</v>
      </c>
      <c r="I61" s="86" t="str">
        <f>IF(OR(G61="NA",G61="**"),"NA",IF(G61&lt;C61,"Not Met","Met"))</f>
        <v>Not 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0.41670000000000001</v>
      </c>
      <c r="H64" s="83" t="s">
        <v>1</v>
      </c>
      <c r="I64" s="86" t="str">
        <f>IF(OR(G64="NA",G64="**"),"NA",IF(G64&lt;C64,"Not Met","Met"))</f>
        <v>Not 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0.2414</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0.31369999999999998</v>
      </c>
      <c r="H70" s="83" t="s">
        <v>1</v>
      </c>
      <c r="I70" s="86" t="str">
        <f>IF(OR(G70="NA",G70="**"),"NA",IF(G70&lt;C70,"Not Met","Met"))</f>
        <v>Not 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0.38250000000000001</v>
      </c>
      <c r="H73" s="83" t="s">
        <v>1</v>
      </c>
      <c r="I73" s="86" t="str">
        <f>IF(OR(G73="NA",G73="**"),"NA",IF(G73&gt;C73,"Not Met","Met"))</f>
        <v>Not 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0.42480000000000001</v>
      </c>
      <c r="H76" s="83" t="s">
        <v>1</v>
      </c>
      <c r="I76" s="86" t="str">
        <f>IF(OR(G76="NA",G76="**"),"NA",IF(G76&gt;C76,"Not Met","Met"))</f>
        <v>Not 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0.4914</v>
      </c>
      <c r="H79" s="83" t="s">
        <v>1</v>
      </c>
      <c r="I79" s="86" t="str">
        <f>IF(OR(G79="NA",G79="**"),"NA",IF(G79&gt;C79,"Not Met","Met"))</f>
        <v>Not 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0.36230000000000001</v>
      </c>
      <c r="H82" s="83" t="s">
        <v>1</v>
      </c>
      <c r="I82" s="86" t="str">
        <f>IF(OR(G82="NA",G82="**"),"NA",IF(G82&gt;C82,"Not Met","Met"))</f>
        <v>Not 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0.33860000000000001</v>
      </c>
      <c r="H85" s="83" t="s">
        <v>1</v>
      </c>
      <c r="I85" s="86" t="str">
        <f>IF(OR(G85="NA",G85="**"),"NA",IF(G85&gt;C85,"Not Met","Met"))</f>
        <v>Not 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0.32329999999999998</v>
      </c>
      <c r="H88" s="83" t="s">
        <v>1</v>
      </c>
      <c r="I88" s="86" t="str">
        <f>IF(OR(G88="NA",G88="**"),"NA",IF(G88&gt;C88,"Not Met","Met"))</f>
        <v>Not 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0.62990000000000002</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0.1053</v>
      </c>
      <c r="H102" s="83" t="s">
        <v>1</v>
      </c>
      <c r="I102" s="86" t="str">
        <f>IF(OR(G102="NA",G102="**"),"NA",IF(G102&gt;C102,"Not Met","Met"))</f>
        <v>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1.2999999999999999E-2</v>
      </c>
      <c r="H105" s="83" t="s">
        <v>1</v>
      </c>
      <c r="I105" s="86" t="str">
        <f>IF(OR(G105="NA",G105="**"),"NA",IF(G105&gt;C105,"Not Met","Met"))</f>
        <v>Not 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0.1429</v>
      </c>
      <c r="H109" s="83" t="s">
        <v>1</v>
      </c>
      <c r="I109" s="86" t="str">
        <f>IF(OR(G109="NA",G109="**"),"NA",IF(G109&lt;C109,"Not Met","Met"))</f>
        <v>Not 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0.52290000000000003</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0.71430000000000005</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0.31929999999999997</v>
      </c>
      <c r="H118" s="83" t="s">
        <v>1</v>
      </c>
      <c r="I118" s="86" t="str">
        <f>IF(OR(G118="NA",G118="**"),"NA",IF(G118&gt;C118,"Not Met","Met"))</f>
        <v>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0.26800000000000002</v>
      </c>
      <c r="H121" s="83" t="s">
        <v>1</v>
      </c>
      <c r="I121" s="86" t="str">
        <f>IF(OR(G121="NA",G121="**"),"NA",IF(G121&gt;C121,"Not Met","Met"))</f>
        <v>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0.21429999999999999</v>
      </c>
      <c r="H124" s="83" t="s">
        <v>1</v>
      </c>
      <c r="I124" s="86" t="str">
        <f>IF(OR(G124="NA",G124="**"),"NA",IF(G124&gt;C124,"Not Met","Met"))</f>
        <v>Not 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8.3999999999999995E-3</v>
      </c>
      <c r="H127" s="83" t="s">
        <v>1</v>
      </c>
      <c r="I127" s="86" t="str">
        <f>IF(OR(G127="NA",G127="**"),"NA",IF(G127&gt;C127,"Not Met","Met"))</f>
        <v>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6.4999999999999997E-3</v>
      </c>
      <c r="H130" s="83" t="s">
        <v>1</v>
      </c>
      <c r="I130" s="86" t="str">
        <f>IF(OR(G130="NA",G130="**"),"NA",IF(G130&gt;C130,"Not Met","Met"))</f>
        <v>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f>VLOOKUP(A3,Data!A1:CM89,74,FALSE)</f>
        <v>0</v>
      </c>
      <c r="H133" s="83" t="s">
        <v>1</v>
      </c>
      <c r="I133" s="86" t="str">
        <f>IF(OR(G133="NA",G133="**"),"NA",IF(G133&gt;C133,"Not Met","Met"))</f>
        <v>Met</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0.871</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0.44900000000000001</v>
      </c>
      <c r="H142" s="83" t="s">
        <v>1</v>
      </c>
      <c r="I142" s="86" t="str">
        <f t="shared" si="3"/>
        <v>Not 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0.82989999999999997</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0.51019999999999999</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0.85160000000000002</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0.65310000000000001</v>
      </c>
      <c r="H158" s="83" t="s">
        <v>1</v>
      </c>
      <c r="I158" s="86" t="str">
        <f t="shared" si="3"/>
        <v>Not 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0.89680000000000004</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Yes</v>
      </c>
      <c r="H171" s="83" t="s">
        <v>1</v>
      </c>
      <c r="I171" s="86" t="str">
        <f>IF(OR(G171="NA",G171="**"),"NA",IF(G171="No","Met",IF(G171="Yes","Not Met")))</f>
        <v>Not 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0.8367</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0.49230000000000002</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0.9</v>
      </c>
      <c r="H184" s="83" t="s">
        <v>1</v>
      </c>
      <c r="I184" s="86" t="str">
        <f t="shared" ref="I184" si="5">IF(OR(G184="NA",G184="**"),"NA",IF(G184&lt;C184,"Not Met","Met"))</f>
        <v>Not 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8.3299999999999999E-2</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0.45829999999999999</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0.75</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Charleston</v>
      </c>
      <c r="B3" s="45"/>
      <c r="C3" s="45"/>
      <c r="D3" s="45"/>
      <c r="E3" s="45"/>
      <c r="F3" s="45"/>
      <c r="G3" s="45"/>
      <c r="H3" s="13"/>
      <c r="I3" s="13"/>
      <c r="J3" s="13"/>
    </row>
    <row r="4" spans="1:10" x14ac:dyDescent="0.2">
      <c r="A4" s="16" t="str">
        <f>VLOOKUP(A3,Data!A1:CM89,2,FALSE)</f>
        <v>75 Calhoun St</v>
      </c>
      <c r="B4" s="16"/>
      <c r="C4" s="16"/>
      <c r="D4" s="16"/>
      <c r="E4" s="16"/>
      <c r="F4" s="11"/>
      <c r="G4" s="11"/>
    </row>
    <row r="5" spans="1:10" x14ac:dyDescent="0.2">
      <c r="A5" s="16" t="str">
        <f>VLOOKUP(A3,Data!A1:CM89,3,FALSE)</f>
        <v>Charleston</v>
      </c>
      <c r="B5" s="16"/>
      <c r="C5" s="15" t="str">
        <f>VLOOKUP(A3,Data!A1:CM89,4,FALSE)</f>
        <v>SC</v>
      </c>
      <c r="D5" s="15">
        <f>VLOOKUP(A3,Data!A1:CM89,5,FALSE)</f>
        <v>29401</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2</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 xml:space="preserve">95% or above combined compliance rate for Indicators 11 and 12 </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2</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 xml:space="preserve">All Indicator 9/10 corrections made and verified within review timeframe </v>
      </c>
      <c r="D24" s="103"/>
      <c r="E24" s="103"/>
      <c r="F24" s="103"/>
      <c r="G24" s="103"/>
      <c r="H24" s="103"/>
      <c r="I24" s="103"/>
      <c r="J24" s="103"/>
    </row>
    <row r="25" spans="1:10" ht="21.95" customHeight="1" x14ac:dyDescent="0.2">
      <c r="A25" s="57" t="s">
        <v>16</v>
      </c>
      <c r="B25" s="50">
        <f>SUM(B10,B13,B15,B17,B20,B22,B24)</f>
        <v>19</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0.67789999999999995</v>
      </c>
      <c r="D32" s="33"/>
      <c r="E32" s="29"/>
      <c r="F32" s="29"/>
      <c r="G32" s="29"/>
      <c r="H32" s="29"/>
      <c r="I32" s="29"/>
      <c r="J32" s="29"/>
    </row>
    <row r="33" spans="1:10" ht="11.25" customHeight="1" x14ac:dyDescent="0.2">
      <c r="A33" s="24"/>
      <c r="B33" s="52" t="s">
        <v>323</v>
      </c>
      <c r="C33" s="70">
        <f>VLOOKUP(A3,Data!A1:CM89,15,FALSE)</f>
        <v>0.54500000000000004</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0.1099</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1</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but improved since last year</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0.114</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3</v>
      </c>
      <c r="C52" s="26" t="str">
        <f>IF(B52=0,"Does not meet prior year’s state performance and did not improve",
IF(B52=1,"Does not meet prior year’s state performance but improved since last year",
IF(B52=2,"Meets or exceeds prior year’s state performance",
IF(B52=3,"Meets or exceeds current state target",""))))</f>
        <v>Meets or exceeds current state target</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0.121</v>
      </c>
      <c r="D56" s="33"/>
      <c r="E56" s="29"/>
      <c r="F56" s="29"/>
      <c r="G56" s="29"/>
      <c r="H56" s="29"/>
      <c r="I56" s="29"/>
      <c r="J56" s="29"/>
    </row>
    <row r="57" spans="1:10" ht="11.25" customHeight="1" x14ac:dyDescent="0.2">
      <c r="A57" s="24"/>
      <c r="B57" s="52" t="s">
        <v>323</v>
      </c>
      <c r="C57" s="70">
        <f>VLOOKUP(A3,Data!A1:CM89,24,FALSE)</f>
        <v>0.1053</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3</v>
      </c>
      <c r="C60" s="26" t="str">
        <f>IF(B60=0,"Does not meet prior year’s state performance and did not improve",
IF(B60=1,"Does not meet prior year’s state performance but improved since last year",
IF(B60=2,"Meets or exceeds prior year’s state performance",
IF(B60=3,"Meets or exceeds current state target",""))))</f>
        <v>Meets or exceeds current state target</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0.17760000000000001</v>
      </c>
      <c r="D64" s="33"/>
      <c r="E64" s="29"/>
      <c r="F64" s="29"/>
      <c r="G64" s="29"/>
      <c r="H64" s="29"/>
      <c r="I64" s="29"/>
      <c r="J64" s="29"/>
    </row>
    <row r="65" spans="1:10" ht="11.25" customHeight="1" x14ac:dyDescent="0.2">
      <c r="A65" s="24"/>
      <c r="B65" s="52" t="s">
        <v>323</v>
      </c>
      <c r="C65" s="70">
        <f>VLOOKUP(A3,Data!A1:CM89,27,FALSE)</f>
        <v>0.2833</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9.9199999999999997E-2</v>
      </c>
      <c r="D72" s="33"/>
      <c r="E72" s="29"/>
      <c r="F72" s="29"/>
      <c r="G72" s="29"/>
      <c r="H72" s="29"/>
      <c r="I72" s="29"/>
      <c r="J72" s="29"/>
    </row>
    <row r="73" spans="1:10" ht="11.25" customHeight="1" x14ac:dyDescent="0.2">
      <c r="A73" s="24"/>
      <c r="B73" s="52" t="s">
        <v>323</v>
      </c>
      <c r="C73" s="70">
        <f>VLOOKUP(A3,Data!A1:CM89,30,FALSE)</f>
        <v>7.5499999999999998E-2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1</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but improved since last year</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0.20499999999999999</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12</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19</v>
      </c>
      <c r="B87" s="51">
        <f>B83</f>
        <v>12</v>
      </c>
      <c r="C87" s="51">
        <f>SUM(A87:B87)</f>
        <v>31</v>
      </c>
      <c r="D87" s="80">
        <f>VLOOKUP(A3,Data!A1:CM89,91,FALSE)</f>
        <v>42</v>
      </c>
      <c r="E87" s="51">
        <f>VLOOKUP(A3,Data!A1:CM89,34,FALSE)</f>
        <v>0</v>
      </c>
      <c r="F87" s="42">
        <f>SUM(A87,B87,E87)/D87</f>
        <v>0.73809523809523814</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2022-12-06T17:55:10Z</dcterms:modified>
</cp:coreProperties>
</file>