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IFFWzxSG14xWZWzSIbYcQ3XseD2I3L8R9FFzhn2niSBbVqC17VKnIkycbmLkQqqV/mYM8I3jgvyUj/sOtuyWmQ==" workbookSaltValue="qVgRrttuj3RdgJuZlnPLS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<sst xmlns="http://schemas.openxmlformats.org/spreadsheetml/2006/main" count="2178" uniqueCount="508">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</sst>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0.5</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1</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0.75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1</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1</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1</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0.84619999999999995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0.71430000000000005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1</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0.78569999999999995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0.71430000000000005</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0.1111</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0.1111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0.1111</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0.5</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1</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0.5</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0.16389999999999999</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0.19439999999999999</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0.81579999999999997</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3.5200000000000002E-2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-8.3299999999999999E-2</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0.42859999999999998</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0.49020000000000002</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0.2059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0.6875</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0.23080000000000001</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1</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0.81820000000000004</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9.7999999999999997E-3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0.84619999999999995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5.5599999999999997E-2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0.81820000000000004</c:v>
                </c:pt>
                <c:pt idx="3">
                  <c:v>1</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0.1111</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0.2339</c:v>
                </c:pt>
                <c:pt idx="3">
                  <c:v>0.2059</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c:v>
                </c:pt>
                <c:pt idx="3">
                  <c:v>0</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0.1905</c:v>
                </c:pt>
                <c:pt idx="3">
                  <c:v>9.4999999999999998E-3</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44</v>
      </c>
      <c r="B3" s="45"/>
      <c r="C3" s="45"/>
      <c r="D3" s="45"/>
      <c r="E3" s="45"/>
      <c r="F3" s="45"/>
      <c r="G3" s="45"/>
      <c r="H3" s="45"/>
      <c r="I3" s="45"/>
      <c r="J3" s="45"/>
      <c r="K3" s="45"/>
      <c r="L3" s="45"/>
      <c r="M3" s="45"/>
      <c r="N3" s="45"/>
      <c r="O3" s="13"/>
      <c r="T3" s="59"/>
      <c r="U3" s="59"/>
    </row>
    <row r="4" spans="1:21" s="12" customFormat="1" ht="11.25" x14ac:dyDescent="0.2">
      <c r="A4" s="16" t="str">
        <f>+VLOOKUP(A3,Data!A1:CM89,2,FALSE)</f>
        <v>12 South Church Street</v>
      </c>
      <c r="B4" s="16"/>
      <c r="C4" s="15"/>
      <c r="D4" s="16"/>
      <c r="E4" s="15"/>
      <c r="F4" s="15"/>
      <c r="G4" s="16"/>
      <c r="H4" s="16"/>
      <c r="I4" s="16"/>
      <c r="J4" s="16"/>
      <c r="K4" s="11"/>
      <c r="L4" s="11"/>
      <c r="T4" s="11"/>
      <c r="U4" s="11"/>
    </row>
    <row r="5" spans="1:21" s="12" customFormat="1" ht="11.25" x14ac:dyDescent="0.2">
      <c r="A5" s="16" t="str">
        <f>+VLOOKUP(A3,Data!A1:CM89,3,FALSE)</f>
        <v>Summerton</v>
      </c>
      <c r="B5" s="16"/>
      <c r="C5" s="15"/>
      <c r="D5" s="16"/>
      <c r="E5" s="15"/>
      <c r="F5" s="15"/>
      <c r="G5" s="15" t="str">
        <f>+VLOOKUP(A3,Data!A1:CM89,4,FALSE)</f>
        <v>SC</v>
      </c>
      <c r="H5" s="15"/>
      <c r="I5" s="15">
        <f>+VLOOKUP(A3,Data!A1:CM89,5,FALSE)</f>
        <v>29148</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0.81820000000000004</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0.84619999999999995</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0.71430000000000005</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1</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0.84619999999999995</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0.78569999999999995</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0.71430000000000005</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0.1111</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0.1111</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0.1111</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0.5</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1</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0.5</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t="str">
        <f>VLOOKUP(A3,Data!A1:CM89,54,FALSE)</f>
        <v>NA</v>
      </c>
      <c r="H70" s="83" t="s">
        <v>1</v>
      </c>
      <c r="I70" s="86" t="str">
        <f>IF(OR(G70="NA",G70="**"),"NA",IF(G70&lt;C70,"Not Met","Met"))</f>
        <v>NA</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0.16389999999999999</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0.19439999999999999</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0.81579999999999997</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3.5200000000000002E-2</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-8.3299999999999999E-2</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0.42859999999999998</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Yes</v>
      </c>
      <c r="H92" s="83" t="s">
        <v>1</v>
      </c>
      <c r="I92" s="86" t="str">
        <f t="shared" ref="I92" si="1">IF(OR(G92="NA",G92="**"),"NA",IF(G92="No","Met",IF(G92="Yes","Not Met")))</f>
        <v>Not 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0.49020000000000002</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0.2059</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9.7999999999999997E-3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0.5</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1</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t="str">
        <f>VLOOKUP(A3,Data!A1:CM89,68,FALSE)</f>
        <v>NA</v>
      </c>
      <c r="H115" s="83" t="s">
        <v>1</v>
      </c>
      <c r="I115" s="86" t="str">
        <f t="shared" si="3"/>
        <v>NA</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t="str">
        <f>VLOOKUP(A3,Data!A1:CM89,69,FALSE)</f>
        <v>NA</v>
      </c>
      <c r="H118" s="83" t="s">
        <v>1</v>
      </c>
      <c r="I118" s="86" t="str">
        <f>IF(OR(G118="NA",G118="**"),"NA",IF(G118&gt;C118,"Not Met","Met"))</f>
        <v>NA</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1</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0.75</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1</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t="str">
        <f>VLOOKUP(A3,Data!A1:CM89,79,FALSE)</f>
        <v>NA</v>
      </c>
      <c r="H154" s="83" t="s">
        <v>1</v>
      </c>
      <c r="I154" s="86" t="str">
        <f t="shared" si="3"/>
        <v>NA</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1</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t="str">
        <f>VLOOKUP(A3,Data!A1:CM89,81,FALSE)</f>
        <v>NA</v>
      </c>
      <c r="H162" s="83" t="s">
        <v>1</v>
      </c>
      <c r="I162" s="86" t="str">
        <f t="shared" ref="I162" si="4">IF(OR(G162="NA",G162="**"),"NA",IF(G162&lt;C162,"Not Met","Met"))</f>
        <v>NA</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Yes</v>
      </c>
      <c r="H171" s="83" t="s">
        <v>1</v>
      </c>
      <c r="I171" s="86" t="str">
        <f>IF(OR(G171="NA",G171="**"),"NA",IF(G171="No","Met",IF(G171="Yes","Not Met")))</f>
        <v>Not 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0.6875</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0.23080000000000001</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1</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Clarendon 1</v>
      </c>
      <c r="B3" s="45"/>
      <c r="C3" s="45"/>
      <c r="D3" s="45"/>
      <c r="E3" s="45"/>
      <c r="F3" s="45"/>
      <c r="G3" s="45"/>
      <c r="H3" s="13"/>
      <c r="I3" s="13"/>
      <c r="J3" s="13"/>
    </row>
    <row r="4" spans="1:10" x14ac:dyDescent="0.2">
      <c r="A4" s="16" t="str">
        <f>VLOOKUP(A3,Data!A1:CM89,2,FALSE)</f>
        <v>12 South Church Street</v>
      </c>
      <c r="B4" s="16"/>
      <c r="C4" s="16"/>
      <c r="D4" s="16"/>
      <c r="E4" s="16"/>
      <c r="F4" s="11"/>
      <c r="G4" s="11"/>
    </row>
    <row r="5" spans="1:10" x14ac:dyDescent="0.2">
      <c r="A5" s="16" t="str">
        <f>VLOOKUP(A3,Data!A1:CM89,3,FALSE)</f>
        <v>Summerton</v>
      </c>
      <c r="B5" s="16"/>
      <c r="C5" s="15" t="str">
        <f>VLOOKUP(A3,Data!A1:CM89,4,FALSE)</f>
        <v>SC</v>
      </c>
      <c r="D5" s="15">
        <f>VLOOKUP(A3,Data!A1:CM89,5,FALSE)</f>
        <v>29148</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2</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 xml:space="preserve">All Indicator 9/10 corrections made and verified within review timeframe </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0.81820000000000004</v>
      </c>
      <c r="D32" s="33"/>
      <c r="E32" s="29"/>
      <c r="F32" s="29"/>
      <c r="G32" s="29"/>
      <c r="H32" s="29"/>
      <c r="I32" s="29"/>
      <c r="J32" s="29"/>
    </row>
    <row r="33" spans="1:10" ht="11.25" customHeight="1" x14ac:dyDescent="0.2">
      <c r="A33" s="24"/>
      <c r="B33" s="52" t="s">
        <v>323</v>
      </c>
      <c r="C33" s="70">
        <f>VLOOKUP(A3,Data!A1:CM89,15,FALSE)</f>
        <v>1</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5.5599999999999997E-2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0.1111</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1</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but improved since last year</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0.2339</v>
      </c>
      <c r="D56" s="33"/>
      <c r="E56" s="29"/>
      <c r="F56" s="29"/>
      <c r="G56" s="29"/>
      <c r="H56" s="29"/>
      <c r="I56" s="29"/>
      <c r="J56" s="29"/>
    </row>
    <row r="57" spans="1:10" ht="11.25" customHeight="1" x14ac:dyDescent="0.2">
      <c r="A57" s="24"/>
      <c r="B57" s="52" t="s">
        <v>323</v>
      </c>
      <c r="C57" s="70">
        <f>VLOOKUP(A3,Data!A1:CM89,24,FALSE)</f>
        <v>0.2059</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v>
      </c>
      <c r="D64" s="33"/>
      <c r="E64" s="29"/>
      <c r="F64" s="29"/>
      <c r="G64" s="29"/>
      <c r="H64" s="29"/>
      <c r="I64" s="29"/>
      <c r="J64" s="29"/>
    </row>
    <row r="65" spans="1:10" ht="11.25" customHeight="1" x14ac:dyDescent="0.2">
      <c r="A65" s="24"/>
      <c r="B65" s="52" t="s">
        <v>323</v>
      </c>
      <c r="C65" s="70">
        <f>VLOOKUP(A3,Data!A1:CM89,27,FALSE)</f>
        <v>0</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0.1905</v>
      </c>
      <c r="D72" s="33"/>
      <c r="E72" s="29"/>
      <c r="F72" s="29"/>
      <c r="G72" s="29"/>
      <c r="H72" s="29"/>
      <c r="I72" s="29"/>
      <c r="J72" s="29"/>
    </row>
    <row r="73" spans="1:10" ht="11.25" customHeight="1" x14ac:dyDescent="0.2">
      <c r="A73" s="24"/>
      <c r="B73" s="52" t="s">
        <v>323</v>
      </c>
      <c r="C73" s="70">
        <f>VLOOKUP(A3,Data!A1:CM89,30,FALSE)</f>
        <v>9.4999999999999998E-3</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0</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and did not improve</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9</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9</v>
      </c>
      <c r="C87" s="51">
        <f>SUM(A87:B87)</f>
        <v>29</v>
      </c>
      <c r="D87" s="80">
        <f>VLOOKUP(A3,Data!A1:CM89,91,FALSE)</f>
        <v>42</v>
      </c>
      <c r="E87" s="51">
        <f>VLOOKUP(A3,Data!A1:CM89,34,FALSE)</f>
        <v>2</v>
      </c>
      <c r="F87" s="42">
        <f>SUM(A87,B87,E87)/D87</f>
        <v>0.73809523809523814</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2022-12-06T17:55:14Z</dcterms:modified>
</cp:coreProperties>
</file>