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46dbGE6cmSzMFYeXd0PWFW6zh0SVX6Yl9Yz0TEnJ1kr47MLuRwe/n+5c/wNm+ST2h5LwPNCAoCV52+vrZ/Ym9w==" workbookSaltValue="PdxWnh5nEzRonRNMbu58dg=="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<sst xmlns="http://schemas.openxmlformats.org/spreadsheetml/2006/main" count="2178" uniqueCount="508">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</sst>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0.1739</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0.7</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0.56520000000000004</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0.15</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0.1</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4.3499999999999997E-2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0.86670000000000003</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0.52</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0.84440000000000004</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0.5</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0.93020000000000003</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0.60870000000000002</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0.67500000000000004</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0.66</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0.95240000000000002</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0.95689999999999997</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0.88890000000000002</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0.96750000000000003</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0.90369999999999995</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0.83630000000000004</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6.6000000000000003E-2</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7.4099999999999999E-2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0.40589999999999998</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0.1048</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3.6700000000000003E-2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0.10829999999999999</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0.6</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0.25</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0.27779999999999999</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0.4</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0.3846</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0.43480000000000002</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0.24099999999999999</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0.2409</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0.39950000000000002</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0.19109999999999999</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0.13020000000000001</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0.2084</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0.56740000000000002</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9.1700000000000004E-2</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0.85940000000000005</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0.2278</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0.59489999999999998</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0.8861</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0.1111</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0.77780000000000005</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6.7999999999999996E-3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0.94830000000000003</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7.0099999999999996E-2</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0.77780000000000005</c:v>
                </c:pt>
                <c:pt idx="3">
                  <c:v>0.61629999999999996</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7.0099999999999996E-2</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8.77E-2</c:v>
                </c:pt>
                <c:pt idx="3">
                  <c:v>9.1700000000000004E-2</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0.2114</c:v>
                </c:pt>
                <c:pt idx="3">
                  <c:v>0.27400000000000002</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0.1956</c:v>
                </c:pt>
                <c:pt idx="3">
                  <c:v>9.98E-2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3</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0.23200000000000001</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60</v>
      </c>
      <c r="B3" s="45"/>
      <c r="C3" s="45"/>
      <c r="D3" s="45"/>
      <c r="E3" s="45"/>
      <c r="F3" s="45"/>
      <c r="G3" s="45"/>
      <c r="H3" s="45"/>
      <c r="I3" s="45"/>
      <c r="J3" s="45"/>
      <c r="K3" s="45"/>
      <c r="L3" s="45"/>
      <c r="M3" s="45"/>
      <c r="N3" s="45"/>
      <c r="O3" s="13"/>
      <c r="T3" s="59"/>
      <c r="U3" s="59"/>
    </row>
    <row r="4" spans="1:21" s="12" customFormat="1" ht="11.25" x14ac:dyDescent="0.2">
      <c r="A4" s="16" t="str">
        <f>+VLOOKUP(A3,Data!A1:CM89,2,FALSE)</f>
        <v>2018 Church Street</v>
      </c>
      <c r="B4" s="16"/>
      <c r="C4" s="15"/>
      <c r="D4" s="16"/>
      <c r="E4" s="15"/>
      <c r="F4" s="15"/>
      <c r="G4" s="16"/>
      <c r="H4" s="16"/>
      <c r="I4" s="16"/>
      <c r="J4" s="16"/>
      <c r="K4" s="11"/>
      <c r="L4" s="11"/>
      <c r="T4" s="11"/>
      <c r="U4" s="11"/>
    </row>
    <row r="5" spans="1:21" s="12" customFormat="1" ht="11.25" x14ac:dyDescent="0.2">
      <c r="A5" s="16" t="str">
        <f>+VLOOKUP(A3,Data!A1:CM89,3,FALSE)</f>
        <v>Georg;etown</v>
      </c>
      <c r="B5" s="16"/>
      <c r="C5" s="15"/>
      <c r="D5" s="16"/>
      <c r="E5" s="15"/>
      <c r="F5" s="15"/>
      <c r="G5" s="15" t="str">
        <f>+VLOOKUP(A3,Data!A1:CM89,4,FALSE)</f>
        <v>SC</v>
      </c>
      <c r="H5" s="15"/>
      <c r="I5" s="15">
        <f>+VLOOKUP(A3,Data!A1:CM89,5,FALSE)</f>
        <v>29440</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0.77780000000000005</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0.1111</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0.95689999999999997</v>
      </c>
      <c r="H19" s="83" t="s">
        <v>1</v>
      </c>
      <c r="I19" s="86" t="str">
        <f>IF(OR(G19="NA",G19="**"),"NA",IF(G19&lt;C19,"Not Met","Met"))</f>
        <v>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0.88890000000000002</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0.96750000000000003</v>
      </c>
      <c r="H25" s="83" t="s">
        <v>1</v>
      </c>
      <c r="I25" s="86" t="str">
        <f>IF(OR(G25="NA",G25="**"),"NA",IF(G25&lt;C25,"Not Met","Met"))</f>
        <v>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0.94830000000000003</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0.90369999999999995</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0.83630000000000004</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6.6000000000000003E-2</v>
      </c>
      <c r="H37" s="83" t="s">
        <v>1</v>
      </c>
      <c r="I37" s="86" t="str">
        <f>IF(OR(G37="NA",G37="**"),"NA",IF(G37&lt;C37,"Not Met","Met"))</f>
        <v>Not 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7.4099999999999999E-2</v>
      </c>
      <c r="H40" s="83" t="s">
        <v>1</v>
      </c>
      <c r="I40" s="86" t="str">
        <f>IF(OR(G40="NA",G40="**"),"NA",IF(G40&lt;C40,"Not Met","Met"))</f>
        <v>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0.40589999999999998</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0.1048</v>
      </c>
      <c r="H46" s="83" t="s">
        <v>1</v>
      </c>
      <c r="I46" s="86" t="str">
        <f>IF(OR(G46="NA",G46="**"),"NA",IF(G46&lt;C46,"Not Met","Met"))</f>
        <v>Not 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3.6700000000000003E-2</v>
      </c>
      <c r="H49" s="83" t="s">
        <v>1</v>
      </c>
      <c r="I49" s="86" t="str">
        <f>IF(OR(G49="NA",G49="**"),"NA",IF(G49&lt;C49,"Not Met","Met"))</f>
        <v>Not 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0.10829999999999999</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0.6</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0.25</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0.27779999999999999</v>
      </c>
      <c r="H61" s="83" t="s">
        <v>1</v>
      </c>
      <c r="I61" s="86" t="str">
        <f>IF(OR(G61="NA",G61="**"),"NA",IF(G61&lt;C61,"Not Met","Met"))</f>
        <v>Not 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0.4</v>
      </c>
      <c r="H64" s="83" t="s">
        <v>1</v>
      </c>
      <c r="I64" s="86" t="str">
        <f>IF(OR(G64="NA",G64="**"),"NA",IF(G64&lt;C64,"Not Met","Met"))</f>
        <v>Not 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0.3846</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0.43480000000000002</v>
      </c>
      <c r="H70" s="83" t="s">
        <v>1</v>
      </c>
      <c r="I70" s="86" t="str">
        <f>IF(OR(G70="NA",G70="**"),"NA",IF(G70&lt;C70,"Not Met","Met"))</f>
        <v>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0.24099999999999999</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0.2409</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0.39950000000000002</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0.19109999999999999</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0.13020000000000001</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0.2084</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0.56740000000000002</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9.1700000000000004E-2</v>
      </c>
      <c r="H102" s="83" t="s">
        <v>1</v>
      </c>
      <c r="I102" s="86" t="str">
        <f>IF(OR(G102="NA",G102="**"),"NA",IF(G102&gt;C102,"Not Met","Met"))</f>
        <v>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6.7999999999999996E-3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0.1739</v>
      </c>
      <c r="H109" s="83" t="s">
        <v>1</v>
      </c>
      <c r="I109" s="86" t="str">
        <f>IF(OR(G109="NA",G109="**"),"NA",IF(G109&lt;C109,"Not Met","Met"))</f>
        <v>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0.67500000000000004</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0.7</v>
      </c>
      <c r="H115" s="83" t="s">
        <v>1</v>
      </c>
      <c r="I115" s="86" t="str">
        <f t="shared" si="3"/>
        <v>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0.56520000000000004</v>
      </c>
      <c r="H118" s="83" t="s">
        <v>1</v>
      </c>
      <c r="I118" s="86" t="str">
        <f>IF(OR(G118="NA",G118="**"),"NA",IF(G118&gt;C118,"Not Met","Met"))</f>
        <v>Not 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0.15</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0.1</v>
      </c>
      <c r="H124" s="83" t="s">
        <v>1</v>
      </c>
      <c r="I124" s="86" t="str">
        <f>IF(OR(G124="NA",G124="**"),"NA",IF(G124&gt;C124,"Not Met","Met"))</f>
        <v>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4.3499999999999997E-2</v>
      </c>
      <c r="H127" s="83" t="s">
        <v>1</v>
      </c>
      <c r="I127" s="86" t="str">
        <f>IF(OR(G127="NA",G127="**"),"NA",IF(G127&gt;C127,"Not Met","Met"))</f>
        <v>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0</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0.86670000000000003</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0.52</v>
      </c>
      <c r="H142" s="83" t="s">
        <v>1</v>
      </c>
      <c r="I142" s="86" t="str">
        <f t="shared" si="3"/>
        <v>Not 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0.84440000000000004</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0.5</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0.93020000000000003</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0.66</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0.95240000000000002</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0.85940000000000005</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0.60870000000000002</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0.2278</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0.59489999999999998</v>
      </c>
      <c r="H193" s="83" t="s">
        <v>1</v>
      </c>
      <c r="I193" s="86" t="str">
        <f>IF(OR(G193="NA",G193="**"),"NA",IF(G193&lt;C193,"Not Met","Met"))</f>
        <v>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0.8861</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Georgetown</v>
      </c>
      <c r="B3" s="45"/>
      <c r="C3" s="45"/>
      <c r="D3" s="45"/>
      <c r="E3" s="45"/>
      <c r="F3" s="45"/>
      <c r="G3" s="45"/>
      <c r="H3" s="13"/>
      <c r="I3" s="13"/>
      <c r="J3" s="13"/>
    </row>
    <row r="4" spans="1:10" x14ac:dyDescent="0.2">
      <c r="A4" s="16" t="str">
        <f>VLOOKUP(A3,Data!A1:CM89,2,FALSE)</f>
        <v>2018 Church Street</v>
      </c>
      <c r="B4" s="16"/>
      <c r="C4" s="16"/>
      <c r="D4" s="16"/>
      <c r="E4" s="16"/>
      <c r="F4" s="11"/>
      <c r="G4" s="11"/>
    </row>
    <row r="5" spans="1:10" x14ac:dyDescent="0.2">
      <c r="A5" s="16" t="str">
        <f>VLOOKUP(A3,Data!A1:CM89,3,FALSE)</f>
        <v>Georg;etown</v>
      </c>
      <c r="B5" s="16"/>
      <c r="C5" s="15" t="str">
        <f>VLOOKUP(A3,Data!A1:CM89,4,FALSE)</f>
        <v>SC</v>
      </c>
      <c r="D5" s="15">
        <f>VLOOKUP(A3,Data!A1:CM89,5,FALSE)</f>
        <v>29440</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21</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3</v>
      </c>
      <c r="C28" s="26" t="str">
        <f>IF(B28=0,"Does not meet prior year’s state performance and did not improve",
IF(B28=1,"Does not meet prior year’s state performance but improved since last year",
IF(B28=2,"Meets or exceeds prior year’s state performance",
IF(B28=3,"Meets or exceeds current state target",""))))</f>
        <v>Meets or exceeds current state target</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0.77780000000000005</v>
      </c>
      <c r="D32" s="33"/>
      <c r="E32" s="29"/>
      <c r="F32" s="29"/>
      <c r="G32" s="29"/>
      <c r="H32" s="29"/>
      <c r="I32" s="29"/>
      <c r="J32" s="29"/>
    </row>
    <row r="33" spans="1:10" ht="11.25" customHeight="1" x14ac:dyDescent="0.2">
      <c r="A33" s="24"/>
      <c r="B33" s="52" t="s">
        <v>323</v>
      </c>
      <c r="C33" s="70">
        <f>VLOOKUP(A3,Data!A1:CM89,15,FALSE)</f>
        <v>0.61629999999999996</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1</v>
      </c>
      <c r="C36" s="26" t="str">
        <f>IF(B36=0,"Does not meet prior year’s state performance and did not improve",
IF(B36=1,"Does not meet prior year’s state performance but improved since last year",
IF(B36=2,"Meets or exceeds prior year’s state performance",
IF(B36=3,"Meets or exceeds current state target",""))))</f>
        <v>Does not meet prior year’s state performance but improved since last year</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7.0099999999999996E-2</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1</v>
      </c>
      <c r="C44" s="26" t="str">
        <f>IF(B44=0,"Does not meet prior year’s state performance and did not improve",
IF(B44=1,"Does not meet prior year’s state performance but improved since last year",
IF(B44=2,"Meets or exceeds prior year’s state performance",
IF(B44=3,"Meets or exceeds current state target",""))))</f>
        <v>Does not meet prior year’s state performance but improved since last year</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7.0099999999999996E-2</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3</v>
      </c>
      <c r="C52" s="26" t="str">
        <f>IF(B52=0,"Does not meet prior year’s state performance and did not improve",
IF(B52=1,"Does not meet prior year’s state performance but improved since last year",
IF(B52=2,"Meets or exceeds prior year’s state performance",
IF(B52=3,"Meets or exceeds current state target",""))))</f>
        <v>Meets or exceeds current state target</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8.77E-2</v>
      </c>
      <c r="D56" s="33"/>
      <c r="E56" s="29"/>
      <c r="F56" s="29"/>
      <c r="G56" s="29"/>
      <c r="H56" s="29"/>
      <c r="I56" s="29"/>
      <c r="J56" s="29"/>
    </row>
    <row r="57" spans="1:10" ht="11.25" customHeight="1" x14ac:dyDescent="0.2">
      <c r="A57" s="24"/>
      <c r="B57" s="52" t="s">
        <v>323</v>
      </c>
      <c r="C57" s="70">
        <f>VLOOKUP(A3,Data!A1:CM89,24,FALSE)</f>
        <v>9.1700000000000004E-2</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0.2114</v>
      </c>
      <c r="D64" s="33"/>
      <c r="E64" s="29"/>
      <c r="F64" s="29"/>
      <c r="G64" s="29"/>
      <c r="H64" s="29"/>
      <c r="I64" s="29"/>
      <c r="J64" s="29"/>
    </row>
    <row r="65" spans="1:10" ht="11.25" customHeight="1" x14ac:dyDescent="0.2">
      <c r="A65" s="24"/>
      <c r="B65" s="52" t="s">
        <v>323</v>
      </c>
      <c r="C65" s="70">
        <f>VLOOKUP(A3,Data!A1:CM89,27,FALSE)</f>
        <v>0.27400000000000002</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1</v>
      </c>
      <c r="C68" s="26" t="str">
        <f>IF(B68=0,"Does not meet prior year’s state performance and did not improve",
IF(B68=1,"Does not meet prior year’s state performance but improved since last year",
IF(B68=2,"Meets or exceeds prior year’s state performance",
IF(B68=3,"Meets or exceeds current state target",""))))</f>
        <v>Does not meet prior year’s state performance but improved since last year</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0.1956</v>
      </c>
      <c r="D72" s="33"/>
      <c r="E72" s="29"/>
      <c r="F72" s="29"/>
      <c r="G72" s="29"/>
      <c r="H72" s="29"/>
      <c r="I72" s="29"/>
      <c r="J72" s="29"/>
    </row>
    <row r="73" spans="1:10" ht="11.25" customHeight="1" x14ac:dyDescent="0.2">
      <c r="A73" s="24"/>
      <c r="B73" s="52" t="s">
        <v>323</v>
      </c>
      <c r="C73" s="70">
        <f>VLOOKUP(A3,Data!A1:CM89,30,FALSE)</f>
        <v>9.98E-2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2</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prior year’s state performance</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0.23200000000000001</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14</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21</v>
      </c>
      <c r="B87" s="51">
        <f>B83</f>
        <v>14</v>
      </c>
      <c r="C87" s="51">
        <f>SUM(A87:B87)</f>
        <v>35</v>
      </c>
      <c r="D87" s="80">
        <f>VLOOKUP(A3,Data!A1:CM89,91,FALSE)</f>
        <v>42</v>
      </c>
      <c r="E87" s="51">
        <f>VLOOKUP(A3,Data!A1:CM89,34,FALSE)</f>
        <v>2</v>
      </c>
      <c r="F87" s="42">
        <f>SUM(A87,B87,E87)/D87</f>
        <v>0.88095238095238093</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2022-12-06T17:55:27Z</dcterms:modified>
</cp:coreProperties>
</file>