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uETH/3LgRbI1PmweYaYdZFeDFN2A4Q6NLPw0LaRCXgzMhbxGLMCA9ZZNv4EflNLBjjfcKCJ8ciUQD5AcJcXEKw==" workbookSaltValue="khlKUGcWXAg7PWSKXdfemA=="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<sst xmlns="http://schemas.openxmlformats.org/spreadsheetml/2006/main" count="2178" uniqueCount="508">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</sst>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0.30769999999999997</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0.66669999999999996</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0.53849999999999998</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0.26919999999999999</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0.22220000000000001</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0.92449999999999999</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0.68120000000000003</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0.79590000000000005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0.63770000000000004</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0.90239999999999998</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0.5</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0.57689999999999997</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0.79710000000000003</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0.73329999999999995</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0.89470000000000005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0.89470000000000005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0.87180000000000002</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0.86839999999999995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0.83740000000000003</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0.1759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0.11459999999999999</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0.52329999999999999</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0.1389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4.2999999999999997E-2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0.3034</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0.54549999999999998</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0.16669999999999999</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0.375</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0.36359999999999998</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0.16669999999999999</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0.21429999999999999</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0.3448</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0.36630000000000001</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0.33079999999999998</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0.29499999999999998</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0.2656</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0.24360000000000001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0.50880000000000003</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0.19939999999999999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0.8478</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0.05</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0.9</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9.5200000000000007E-2</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0.73809999999999998</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4.8999999999999998E-3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0.89470000000000005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0.14710000000000001</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0.73809999999999998</c:v>
                </c:pt>
                <c:pt idx="3">
                  <c:v>0.6</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9.4500000000000001E-2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0.1953</c:v>
                </c:pt>
                <c:pt idx="3">
                  <c:v>0.19939999999999999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0.2114</c:v>
                </c:pt>
                <c:pt idx="3">
                  <c:v>0.377</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0.13189999999999999</c:v>
                </c:pt>
                <c:pt idx="3">
                  <c:v>8.4500000000000006E-2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0.315</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69</v>
      </c>
      <c r="B3" s="45"/>
      <c r="C3" s="45"/>
      <c r="D3" s="45"/>
      <c r="E3" s="45"/>
      <c r="F3" s="45"/>
      <c r="G3" s="45"/>
      <c r="H3" s="45"/>
      <c r="I3" s="45"/>
      <c r="J3" s="45"/>
      <c r="K3" s="45"/>
      <c r="L3" s="45"/>
      <c r="M3" s="45"/>
      <c r="N3" s="45"/>
      <c r="O3" s="13"/>
      <c r="T3" s="59"/>
      <c r="U3" s="59"/>
    </row>
    <row r="4" spans="1:21" s="12" customFormat="1" ht="11.25" x14ac:dyDescent="0.2">
      <c r="A4" s="16" t="str">
        <f>+VLOOKUP(A3,Data!A1:CM89,2,FALSE)</f>
        <v xml:space="preserve">2029 West DeKalb Street </v>
      </c>
      <c r="B4" s="16"/>
      <c r="C4" s="15"/>
      <c r="D4" s="16"/>
      <c r="E4" s="15"/>
      <c r="F4" s="15"/>
      <c r="G4" s="16"/>
      <c r="H4" s="16"/>
      <c r="I4" s="16"/>
      <c r="J4" s="16"/>
      <c r="K4" s="11"/>
      <c r="L4" s="11"/>
      <c r="T4" s="11"/>
      <c r="U4" s="11"/>
    </row>
    <row r="5" spans="1:21" s="12" customFormat="1" ht="11.25" x14ac:dyDescent="0.2">
      <c r="A5" s="16" t="str">
        <f>+VLOOKUP(A3,Data!A1:CM89,3,FALSE)</f>
        <v>Camden</v>
      </c>
      <c r="B5" s="16"/>
      <c r="C5" s="15"/>
      <c r="D5" s="16"/>
      <c r="E5" s="15"/>
      <c r="F5" s="15"/>
      <c r="G5" s="15" t="str">
        <f>+VLOOKUP(A3,Data!A1:CM89,4,FALSE)</f>
        <v>SC</v>
      </c>
      <c r="H5" s="15"/>
      <c r="I5" s="15">
        <f>+VLOOKUP(A3,Data!A1:CM89,5,FALSE)</f>
        <v>29020</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0.73809999999999998</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9.5200000000000007E-2</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0.89470000000000005</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0.89470000000000005</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0.87180000000000002</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0.89470000000000005</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0.86839999999999995</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0.83740000000000003</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0.1759</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0.11459999999999999</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0.52329999999999999</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0.1389</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4.2999999999999997E-2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0.3034</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0.54549999999999998</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0.16669999999999999</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0.375</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0.36359999999999998</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0.16669999999999999</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0.21429999999999999</v>
      </c>
      <c r="H70" s="83" t="s">
        <v>1</v>
      </c>
      <c r="I70" s="86" t="str">
        <f>IF(OR(G70="NA",G70="**"),"NA",IF(G70&lt;C70,"Not Met","Met"))</f>
        <v>Not 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0.3448</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0.36630000000000001</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0.33079999999999998</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0.29499999999999998</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0.2656</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0.24360000000000001</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0.50880000000000003</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0.19939999999999999</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4.8999999999999998E-3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0.30769999999999997</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0.57689999999999997</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0.66669999999999996</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0.53849999999999998</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0.26919999999999999</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0.22220000000000001</v>
      </c>
      <c r="H124" s="83" t="s">
        <v>1</v>
      </c>
      <c r="I124" s="86" t="str">
        <f>IF(OR(G124="NA",G124="**"),"NA",IF(G124&gt;C124,"Not Met","Met"))</f>
        <v>Not 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0</v>
      </c>
      <c r="H127" s="83" t="s">
        <v>1</v>
      </c>
      <c r="I127" s="86" t="str">
        <f>IF(OR(G127="NA",G127="**"),"NA",IF(G127&gt;C127,"Not Met","Met"))</f>
        <v>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0.92449999999999999</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0.68120000000000003</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0.79590000000000005</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0.63770000000000004</v>
      </c>
      <c r="H150" s="83" t="s">
        <v>1</v>
      </c>
      <c r="I150" s="86" t="str">
        <f t="shared" si="3"/>
        <v>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0.90239999999999998</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0.79710000000000003</v>
      </c>
      <c r="H158" s="83" t="s">
        <v>1</v>
      </c>
      <c r="I158" s="86" t="str">
        <f t="shared" si="3"/>
        <v>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0.73329999999999995</v>
      </c>
      <c r="H162" s="83" t="s">
        <v>1</v>
      </c>
      <c r="I162" s="86" t="str">
        <f t="shared" ref="I162" si="4">IF(OR(G162="NA",G162="**"),"NA",IF(G162&lt;C162,"Not Met","Met"))</f>
        <v>Not 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0.8478</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0.5</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0.05</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0.9</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Kershaw</v>
      </c>
      <c r="B3" s="45"/>
      <c r="C3" s="45"/>
      <c r="D3" s="45"/>
      <c r="E3" s="45"/>
      <c r="F3" s="45"/>
      <c r="G3" s="45"/>
      <c r="H3" s="13"/>
      <c r="I3" s="13"/>
      <c r="J3" s="13"/>
    </row>
    <row r="4" spans="1:10" x14ac:dyDescent="0.2">
      <c r="A4" s="16" t="str">
        <f>VLOOKUP(A3,Data!A1:CM89,2,FALSE)</f>
        <v xml:space="preserve">2029 West DeKalb Street </v>
      </c>
      <c r="B4" s="16"/>
      <c r="C4" s="16"/>
      <c r="D4" s="16"/>
      <c r="E4" s="16"/>
      <c r="F4" s="11"/>
      <c r="G4" s="11"/>
    </row>
    <row r="5" spans="1:10" x14ac:dyDescent="0.2">
      <c r="A5" s="16" t="str">
        <f>VLOOKUP(A3,Data!A1:CM89,3,FALSE)</f>
        <v>Camden</v>
      </c>
      <c r="B5" s="16"/>
      <c r="C5" s="15" t="str">
        <f>VLOOKUP(A3,Data!A1:CM89,4,FALSE)</f>
        <v>SC</v>
      </c>
      <c r="D5" s="15">
        <f>VLOOKUP(A3,Data!A1:CM89,5,FALSE)</f>
        <v>29020</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2</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 xml:space="preserve">95% or above combined compliance rate for Indicators 11 and 12 </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19</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0.73809999999999998</v>
      </c>
      <c r="D32" s="33"/>
      <c r="E32" s="29"/>
      <c r="F32" s="29"/>
      <c r="G32" s="29"/>
      <c r="H32" s="29"/>
      <c r="I32" s="29"/>
      <c r="J32" s="29"/>
    </row>
    <row r="33" spans="1:10" ht="11.25" customHeight="1" x14ac:dyDescent="0.2">
      <c r="A33" s="24"/>
      <c r="B33" s="52" t="s">
        <v>323</v>
      </c>
      <c r="C33" s="70">
        <f>VLOOKUP(A3,Data!A1:CM89,15,FALSE)</f>
        <v>0.6</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0.14710000000000001</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9.4500000000000001E-2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0.1953</v>
      </c>
      <c r="D56" s="33"/>
      <c r="E56" s="29"/>
      <c r="F56" s="29"/>
      <c r="G56" s="29"/>
      <c r="H56" s="29"/>
      <c r="I56" s="29"/>
      <c r="J56" s="29"/>
    </row>
    <row r="57" spans="1:10" ht="11.25" customHeight="1" x14ac:dyDescent="0.2">
      <c r="A57" s="24"/>
      <c r="B57" s="52" t="s">
        <v>323</v>
      </c>
      <c r="C57" s="70">
        <f>VLOOKUP(A3,Data!A1:CM89,24,FALSE)</f>
        <v>0.19939999999999999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0</v>
      </c>
      <c r="C60" s="26" t="str">
        <f>IF(B60=0,"Does not meet prior year’s state performance and did not improve",
IF(B60=1,"Does not meet prior year’s state performance but improved since last year",
IF(B60=2,"Meets or exceeds prior year’s state performance",
IF(B60=3,"Meets or exceeds current state target",""))))</f>
        <v>Does not meet prior year’s state performance and did not improve</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0.2114</v>
      </c>
      <c r="D64" s="33"/>
      <c r="E64" s="29"/>
      <c r="F64" s="29"/>
      <c r="G64" s="29"/>
      <c r="H64" s="29"/>
      <c r="I64" s="29"/>
      <c r="J64" s="29"/>
    </row>
    <row r="65" spans="1:10" ht="11.25" customHeight="1" x14ac:dyDescent="0.2">
      <c r="A65" s="24"/>
      <c r="B65" s="52" t="s">
        <v>323</v>
      </c>
      <c r="C65" s="70">
        <f>VLOOKUP(A3,Data!A1:CM89,27,FALSE)</f>
        <v>0.377</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0.13189999999999999</v>
      </c>
      <c r="D72" s="33"/>
      <c r="E72" s="29"/>
      <c r="F72" s="29"/>
      <c r="G72" s="29"/>
      <c r="H72" s="29"/>
      <c r="I72" s="29"/>
      <c r="J72" s="29"/>
    </row>
    <row r="73" spans="1:10" ht="11.25" customHeight="1" x14ac:dyDescent="0.2">
      <c r="A73" s="24"/>
      <c r="B73" s="52" t="s">
        <v>323</v>
      </c>
      <c r="C73" s="70">
        <f>VLOOKUP(A3,Data!A1:CM89,30,FALSE)</f>
        <v>8.4500000000000006E-2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3</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current state target</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0.315</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10</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19</v>
      </c>
      <c r="B87" s="51">
        <f>B83</f>
        <v>10</v>
      </c>
      <c r="C87" s="51">
        <f>SUM(A87:B87)</f>
        <v>29</v>
      </c>
      <c r="D87" s="80">
        <f>VLOOKUP(A3,Data!A1:CM89,91,FALSE)</f>
        <v>42</v>
      </c>
      <c r="E87" s="51">
        <f>VLOOKUP(A3,Data!A1:CM89,34,FALSE)</f>
        <v>0</v>
      </c>
      <c r="F87" s="42">
        <f>SUM(A87,B87,E87)/D87</f>
        <v>0.69047619047619047</v>
      </c>
      <c r="G87" s="79" t="str">
        <f>IF(F87&gt;=0.8,"Meets Requirement",IF(F87&gt;=0.6,"Needs Assistance",IF(F87&gt;=0.3,"Needs Intervention",IF(F87&lt;0.3,"Needs Substantial Intervention","NA"))))</f>
        <v>Needs Assistance</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2022-12-06T17:55:35Z</dcterms:modified>
</cp:coreProperties>
</file>