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OBYFrgUIRB64CpyLF4Z0/vVp06EkGCBZkwqOxWSVjNa4DEFouvoG1n6UOzV4LxDqsqOhfiW1Ayj+oYZK3dVQRw==" workbookSaltValue="6HPMafrlnAVaTr0u872FTA=="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<sst xmlns="http://schemas.openxmlformats.org/spreadsheetml/2006/main" count="2178" uniqueCount="508">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</sst>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0.55210000000000004</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0.78749999999999998</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0.51039999999999996</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0.75760000000000005</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0.125</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3.3300000000000003E-2</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0.66669999999999996</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0.85060000000000002</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0.93430000000000002</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0.629</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0.125</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0.70389999999999997</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0.65049999999999997</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0.83540000000000003</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0.16239999999999999</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6.25E-2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0.46529999999999999</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0.21940000000000001</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5.1700000000000003E-2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0.1641</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0.73680000000000001</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0.83330000000000004</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0.5</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0.4</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0.22220000000000001</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0.3105</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0.3165</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0.32200000000000001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0.28210000000000002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0.24729999999999999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0.6</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0.16789999999999999</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0.57130000000000003</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0.23730000000000001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0.84440000000000004</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0.13039999999999999</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0.4783</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0.73909999999999998</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0.4</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0.23530000000000001</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0.55879999999999996</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0.5</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1.7100000000000001E-2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0.92959999999999998</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0.12620000000000001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0.55879999999999996</c:v>
                </c:pt>
                <c:pt idx="3">
                  <c:v>0.55120000000000002</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0.15709999999999999</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0.23269999999999999</c:v>
                </c:pt>
                <c:pt idx="3">
                  <c:v>0.23730000000000001</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0.38159999999999999</c:v>
                </c:pt>
                <c:pt idx="3">
                  <c:v>0.63160000000000005</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0.14979999999999999</c:v>
                </c:pt>
                <c:pt idx="3">
                  <c:v>6.9500000000000006E-2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0.19900000000000001</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3.3300000000000003E-2</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0.79749999999999999</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70</v>
      </c>
      <c r="B3" s="45"/>
      <c r="C3" s="45"/>
      <c r="D3" s="45"/>
      <c r="E3" s="45"/>
      <c r="F3" s="45"/>
      <c r="G3" s="45"/>
      <c r="H3" s="45"/>
      <c r="I3" s="45"/>
      <c r="J3" s="45"/>
      <c r="K3" s="45"/>
      <c r="L3" s="45"/>
      <c r="M3" s="45"/>
      <c r="N3" s="45"/>
      <c r="O3" s="13"/>
      <c r="T3" s="59"/>
      <c r="U3" s="59"/>
    </row>
    <row r="4" spans="1:21" s="12" customFormat="1" ht="11.25" x14ac:dyDescent="0.2">
      <c r="A4" s="16" t="str">
        <f>+VLOOKUP(A3,Data!A1:CM89,2,FALSE)</f>
        <v>300 South Catawba Street</v>
      </c>
      <c r="B4" s="16"/>
      <c r="C4" s="15"/>
      <c r="D4" s="16"/>
      <c r="E4" s="15"/>
      <c r="F4" s="15"/>
      <c r="G4" s="16"/>
      <c r="H4" s="16"/>
      <c r="I4" s="16"/>
      <c r="J4" s="16"/>
      <c r="K4" s="11"/>
      <c r="L4" s="11"/>
      <c r="T4" s="11"/>
      <c r="U4" s="11"/>
    </row>
    <row r="5" spans="1:21" s="12" customFormat="1" ht="11.25" x14ac:dyDescent="0.2">
      <c r="A5" s="16" t="str">
        <f>+VLOOKUP(A3,Data!A1:CM89,3,FALSE)</f>
        <v>Lancaster</v>
      </c>
      <c r="B5" s="16"/>
      <c r="C5" s="15"/>
      <c r="D5" s="16"/>
      <c r="E5" s="15"/>
      <c r="F5" s="15"/>
      <c r="G5" s="15" t="str">
        <f>+VLOOKUP(A3,Data!A1:CM89,4,FALSE)</f>
        <v>SC</v>
      </c>
      <c r="H5" s="15"/>
      <c r="I5" s="15">
        <f>+VLOOKUP(A3,Data!A1:CM89,5,FALSE)</f>
        <v>29720</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0.55879999999999996</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0.23530000000000001</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0.93430000000000002</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0.629</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0.70389999999999997</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0.92959999999999998</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0.65049999999999997</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0.83540000000000003</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0.16239999999999999</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6.25E-2</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0.46529999999999999</v>
      </c>
      <c r="H43" s="83" t="s">
        <v>1</v>
      </c>
      <c r="I43" s="86" t="str">
        <f>IF(OR(G43="NA",G43="**"),"NA",IF(G43&lt;C43,"Not Met","Met"))</f>
        <v>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0.21940000000000001</v>
      </c>
      <c r="H46" s="83" t="s">
        <v>1</v>
      </c>
      <c r="I46" s="86" t="str">
        <f>IF(OR(G46="NA",G46="**"),"NA",IF(G46&lt;C46,"Not Met","Met"))</f>
        <v>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5.1700000000000003E-2</v>
      </c>
      <c r="H49" s="83" t="s">
        <v>1</v>
      </c>
      <c r="I49" s="86" t="str">
        <f>IF(OR(G49="NA",G49="**"),"NA",IF(G49&lt;C49,"Not Met","Met"))</f>
        <v>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0.1641</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v>
      </c>
      <c r="H55" s="83" t="s">
        <v>1</v>
      </c>
      <c r="I55" s="86" t="str">
        <f>IF(OR(G55="NA",G55="**"),"NA",IF(G55&lt;C55,"Not Met","Met"))</f>
        <v>Not 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v>
      </c>
      <c r="H58" s="83" t="s">
        <v>1</v>
      </c>
      <c r="I58" s="86" t="str">
        <f>IF(OR(G58="NA",G58="**"),"NA",IF(G58&lt;C58,"Not Met","Met"))</f>
        <v>Not 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0.83330000000000004</v>
      </c>
      <c r="H61" s="83" t="s">
        <v>1</v>
      </c>
      <c r="I61" s="86" t="str">
        <f>IF(OR(G61="NA",G61="**"),"NA",IF(G61&lt;C61,"Not Met","Met"))</f>
        <v>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0.5</v>
      </c>
      <c r="H64" s="83" t="s">
        <v>1</v>
      </c>
      <c r="I64" s="86" t="str">
        <f>IF(OR(G64="NA",G64="**"),"NA",IF(G64&lt;C64,"Not Met","Met"))</f>
        <v>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0.4</v>
      </c>
      <c r="H67" s="83" t="s">
        <v>1</v>
      </c>
      <c r="I67" s="86" t="str">
        <f>IF(OR(G67="NA",G67="**"),"NA",IF(G67&lt;C67,"Not Met","Met"))</f>
        <v>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0.22220000000000001</v>
      </c>
      <c r="H70" s="83" t="s">
        <v>1</v>
      </c>
      <c r="I70" s="86" t="str">
        <f>IF(OR(G70="NA",G70="**"),"NA",IF(G70&lt;C70,"Not Met","Met"))</f>
        <v>Not 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0.3105</v>
      </c>
      <c r="H73" s="83" t="s">
        <v>1</v>
      </c>
      <c r="I73" s="86" t="str">
        <f>IF(OR(G73="NA",G73="**"),"NA",IF(G73&gt;C73,"Not Met","Met"))</f>
        <v>Not 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0.3165</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0.32200000000000001</v>
      </c>
      <c r="H79" s="83" t="s">
        <v>1</v>
      </c>
      <c r="I79" s="86" t="str">
        <f>IF(OR(G79="NA",G79="**"),"NA",IF(G79&gt;C79,"Not Met","Met"))</f>
        <v>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0.28210000000000002</v>
      </c>
      <c r="H82" s="83" t="s">
        <v>1</v>
      </c>
      <c r="I82" s="86" t="str">
        <f>IF(OR(G82="NA",G82="**"),"NA",IF(G82&gt;C82,"Not Met","Met"))</f>
        <v>Not 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0.24729999999999999</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0.16789999999999999</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0.57130000000000003</v>
      </c>
      <c r="H99" s="83" t="s">
        <v>1</v>
      </c>
      <c r="I99" s="86" t="str">
        <f t="shared" ref="I99" si="2">IF(OR(G99="NA",G99="**"),"NA",IF(G99&lt;C99,"Not Met","Met"))</f>
        <v>Not 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0.23730000000000001</v>
      </c>
      <c r="H102" s="83" t="s">
        <v>1</v>
      </c>
      <c r="I102" s="86" t="str">
        <f>IF(OR(G102="NA",G102="**"),"NA",IF(G102&gt;C102,"Not Met","Met"))</f>
        <v>Not 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1.7100000000000001E-2</v>
      </c>
      <c r="H105" s="83" t="s">
        <v>1</v>
      </c>
      <c r="I105" s="86" t="str">
        <f>IF(OR(G105="NA",G105="**"),"NA",IF(G105&gt;C105,"Not Met","Met"))</f>
        <v>Not 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0</v>
      </c>
      <c r="H109" s="83" t="s">
        <v>1</v>
      </c>
      <c r="I109" s="86" t="str">
        <f>IF(OR(G109="NA",G109="**"),"NA",IF(G109&lt;C109,"Not Met","Met"))</f>
        <v>Not 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3.3300000000000003E-2</v>
      </c>
      <c r="H112" s="83" t="s">
        <v>1</v>
      </c>
      <c r="I112" s="86" t="str">
        <f t="shared" ref="I112:I180" si="3">IF(OR(G112="NA",G112="**"),"NA",IF(G112&lt;C112,"Not Met","Met"))</f>
        <v>Not 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0.125</v>
      </c>
      <c r="H115" s="83" t="s">
        <v>1</v>
      </c>
      <c r="I115" s="86" t="str">
        <f t="shared" si="3"/>
        <v>Not 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0.73680000000000001</v>
      </c>
      <c r="H118" s="83" t="s">
        <v>1</v>
      </c>
      <c r="I118" s="86" t="str">
        <f>IF(OR(G118="NA",G118="**"),"NA",IF(G118&gt;C118,"Not Met","Met"))</f>
        <v>Not 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0.6</v>
      </c>
      <c r="H121" s="83" t="s">
        <v>1</v>
      </c>
      <c r="I121" s="86" t="str">
        <f>IF(OR(G121="NA",G121="**"),"NA",IF(G121&gt;C121,"Not Met","Met"))</f>
        <v>Not 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f>VLOOKUP(A3,Data!A1:CM89,71,FALSE)</f>
        <v>0.5</v>
      </c>
      <c r="H124" s="83" t="s">
        <v>1</v>
      </c>
      <c r="I124" s="86" t="str">
        <f>IF(OR(G124="NA",G124="**"),"NA",IF(G124&gt;C124,"Not Met","Met"))</f>
        <v>Not Met</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f>VLOOKUP(A3,Data!A1:CM89,72,FALSE)</f>
        <v>0</v>
      </c>
      <c r="H127" s="83" t="s">
        <v>1</v>
      </c>
      <c r="I127" s="86" t="str">
        <f>IF(OR(G127="NA",G127="**"),"NA",IF(G127&gt;C127,"Not Met","Met"))</f>
        <v>Met</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3.3300000000000003E-2</v>
      </c>
      <c r="H130" s="83" t="s">
        <v>1</v>
      </c>
      <c r="I130" s="86" t="str">
        <f>IF(OR(G130="NA",G130="**"),"NA",IF(G130&gt;C130,"Not Met","Met"))</f>
        <v>Not 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0.79749999999999999</v>
      </c>
      <c r="H138" s="83" t="s">
        <v>1</v>
      </c>
      <c r="I138" s="86" t="str">
        <f t="shared" si="3"/>
        <v>Not 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0.55210000000000004</v>
      </c>
      <c r="H142" s="83" t="s">
        <v>1</v>
      </c>
      <c r="I142" s="86" t="str">
        <f t="shared" si="3"/>
        <v>Not 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0.78749999999999998</v>
      </c>
      <c r="H146" s="83" t="s">
        <v>1</v>
      </c>
      <c r="I146" s="86" t="str">
        <f t="shared" si="3"/>
        <v>Not 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0.51039999999999996</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0.75760000000000005</v>
      </c>
      <c r="H154" s="83" t="s">
        <v>1</v>
      </c>
      <c r="I154" s="86" t="str">
        <f t="shared" si="3"/>
        <v>Not 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0.66669999999999996</v>
      </c>
      <c r="H158" s="83" t="s">
        <v>1</v>
      </c>
      <c r="I158" s="86" t="str">
        <f t="shared" si="3"/>
        <v>Not 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0.85060000000000002</v>
      </c>
      <c r="H162" s="83" t="s">
        <v>1</v>
      </c>
      <c r="I162" s="86" t="str">
        <f t="shared" ref="I162" si="4">IF(OR(G162="NA",G162="**"),"NA",IF(G162&lt;C162,"Not Met","Met"))</f>
        <v>Not 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0.84440000000000004</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0.125</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0.4</v>
      </c>
      <c r="H184" s="83" t="s">
        <v>1</v>
      </c>
      <c r="I184" s="86" t="str">
        <f t="shared" ref="I184" si="5">IF(OR(G184="NA",G184="**"),"NA",IF(G184&lt;C184,"Not Met","Met"))</f>
        <v>Not 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0.13039999999999999</v>
      </c>
      <c r="H189" s="83" t="s">
        <v>1</v>
      </c>
      <c r="I189" s="86" t="str">
        <f t="shared" ref="I189" si="6">IF(OR(G189="NA",G189="**"),"NA",IF(G189&lt;C189,"Not Met","Met"))</f>
        <v>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0.4783</v>
      </c>
      <c r="H193" s="83" t="s">
        <v>1</v>
      </c>
      <c r="I193" s="86" t="str">
        <f>IF(OR(G193="NA",G193="**"),"NA",IF(G193&lt;C193,"Not Met","Met"))</f>
        <v>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0.73909999999999998</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Lancaster</v>
      </c>
      <c r="B3" s="45"/>
      <c r="C3" s="45"/>
      <c r="D3" s="45"/>
      <c r="E3" s="45"/>
      <c r="F3" s="45"/>
      <c r="G3" s="45"/>
      <c r="H3" s="13"/>
      <c r="I3" s="13"/>
      <c r="J3" s="13"/>
    </row>
    <row r="4" spans="1:10" x14ac:dyDescent="0.2">
      <c r="A4" s="16" t="str">
        <f>VLOOKUP(A3,Data!A1:CM89,2,FALSE)</f>
        <v>300 South Catawba Street</v>
      </c>
      <c r="B4" s="16"/>
      <c r="C4" s="16"/>
      <c r="D4" s="16"/>
      <c r="E4" s="16"/>
      <c r="F4" s="11"/>
      <c r="G4" s="11"/>
    </row>
    <row r="5" spans="1:10" x14ac:dyDescent="0.2">
      <c r="A5" s="16" t="str">
        <f>VLOOKUP(A3,Data!A1:CM89,3,FALSE)</f>
        <v>Lancaster</v>
      </c>
      <c r="B5" s="16"/>
      <c r="C5" s="15" t="str">
        <f>VLOOKUP(A3,Data!A1:CM89,4,FALSE)</f>
        <v>SC</v>
      </c>
      <c r="D5" s="15">
        <f>VLOOKUP(A3,Data!A1:CM89,5,FALSE)</f>
        <v>29720</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2</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One area that was not corrected within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2</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19</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0</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and did not improve</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0.55879999999999996</v>
      </c>
      <c r="D32" s="33"/>
      <c r="E32" s="29"/>
      <c r="F32" s="29"/>
      <c r="G32" s="29"/>
      <c r="H32" s="29"/>
      <c r="I32" s="29"/>
      <c r="J32" s="29"/>
    </row>
    <row r="33" spans="1:10" ht="11.25" customHeight="1" x14ac:dyDescent="0.2">
      <c r="A33" s="24"/>
      <c r="B33" s="52" t="s">
        <v>323</v>
      </c>
      <c r="C33" s="70">
        <f>VLOOKUP(A3,Data!A1:CM89,15,FALSE)</f>
        <v>0.55120000000000002</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3</v>
      </c>
      <c r="C36" s="26" t="str">
        <f>IF(B36=0,"Does not meet prior year’s state performance and did not improve",
IF(B36=1,"Does not meet prior year’s state performance but improved since last year",
IF(B36=2,"Meets or exceeds prior year’s state performance",
IF(B36=3,"Meets or exceeds current state target",""))))</f>
        <v>Meets or exceeds current state target</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0.12620000000000001</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3</v>
      </c>
      <c r="C44" s="26" t="str">
        <f>IF(B44=0,"Does not meet prior year’s state performance and did not improve",
IF(B44=1,"Does not meet prior year’s state performance but improved since last year",
IF(B44=2,"Meets or exceeds prior year’s state performance",
IF(B44=3,"Meets or exceeds current state target",""))))</f>
        <v>Meets or exceeds current state target</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0.15709999999999999</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0</v>
      </c>
      <c r="C52" s="26" t="str">
        <f>IF(B52=0,"Does not meet prior year’s state performance and did not improve",
IF(B52=1,"Does not meet prior year’s state performance but improved since last year",
IF(B52=2,"Meets or exceeds prior year’s state performance",
IF(B52=3,"Meets or exceeds current state target",""))))</f>
        <v>Does not meet prior year’s state performance and did not improve</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0.23269999999999999</v>
      </c>
      <c r="D56" s="33"/>
      <c r="E56" s="29"/>
      <c r="F56" s="29"/>
      <c r="G56" s="29"/>
      <c r="H56" s="29"/>
      <c r="I56" s="29"/>
      <c r="J56" s="29"/>
    </row>
    <row r="57" spans="1:10" ht="11.25" customHeight="1" x14ac:dyDescent="0.2">
      <c r="A57" s="24"/>
      <c r="B57" s="52" t="s">
        <v>323</v>
      </c>
      <c r="C57" s="70">
        <f>VLOOKUP(A3,Data!A1:CM89,24,FALSE)</f>
        <v>0.23730000000000001</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0.38159999999999999</v>
      </c>
      <c r="D64" s="33"/>
      <c r="E64" s="29"/>
      <c r="F64" s="29"/>
      <c r="G64" s="29"/>
      <c r="H64" s="29"/>
      <c r="I64" s="29"/>
      <c r="J64" s="29"/>
    </row>
    <row r="65" spans="1:10" ht="11.25" customHeight="1" x14ac:dyDescent="0.2">
      <c r="A65" s="24"/>
      <c r="B65" s="52" t="s">
        <v>323</v>
      </c>
      <c r="C65" s="70">
        <f>VLOOKUP(A3,Data!A1:CM89,27,FALSE)</f>
        <v>0.63160000000000005</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0.14979999999999999</v>
      </c>
      <c r="D72" s="33"/>
      <c r="E72" s="29"/>
      <c r="F72" s="29"/>
      <c r="G72" s="29"/>
      <c r="H72" s="29"/>
      <c r="I72" s="29"/>
      <c r="J72" s="29"/>
    </row>
    <row r="73" spans="1:10" ht="11.25" customHeight="1" x14ac:dyDescent="0.2">
      <c r="A73" s="24"/>
      <c r="B73" s="52" t="s">
        <v>323</v>
      </c>
      <c r="C73" s="70">
        <f>VLOOKUP(A3,Data!A1:CM89,30,FALSE)</f>
        <v>6.9500000000000006E-2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0.19900000000000001</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10</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19</v>
      </c>
      <c r="B87" s="51">
        <f>B83</f>
        <v>10</v>
      </c>
      <c r="C87" s="51">
        <f>SUM(A87:B87)</f>
        <v>29</v>
      </c>
      <c r="D87" s="80">
        <f>VLOOKUP(A3,Data!A1:CM89,91,FALSE)</f>
        <v>42</v>
      </c>
      <c r="E87" s="51">
        <f>VLOOKUP(A3,Data!A1:CM89,34,FALSE)</f>
        <v>0</v>
      </c>
      <c r="F87" s="42">
        <f>SUM(A87,B87,E87)/D87</f>
        <v>0.69047619047619047</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2022-12-06T17:55:36Z</dcterms:modified>
</cp:coreProperties>
</file>