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AYEyB7+ItimSPCG3+lwqkvfQv/xv+Djp3WhwpsPjMYjtoXKqLP5u+VseBXZlajRpp23M29fiwmDd+K1tNCS//A==" workbookSaltValue="db0rh/UmagY9BdEitdS5Qg=="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<sst xmlns="http://schemas.openxmlformats.org/spreadsheetml/2006/main" count="2178" uniqueCount="508">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</sst>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3.4500000000000003E-2</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0.1905</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0.43099999999999999</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0.24030000000000001</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0.1905</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5.1700000000000003E-2</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6.2E-2</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0.1905</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0.79390000000000005</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0.58140000000000003</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0.7792</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0.60929999999999995</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0.87419999999999998</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0.7097</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0.1938</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0.71160000000000001</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0.92700000000000005</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0.93969999999999998</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0.90849999999999997</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0.90869999999999995</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0.90849999999999997</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0.89039999999999997</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0.16669999999999999</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9.7199999999999995E-2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0.48020000000000002</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0.15970000000000001</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5.2600000000000001E-2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0.21479999999999999</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0.4667</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0.36359999999999998</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0.66669999999999996</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0.33329999999999999</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9.0899999999999995E-2</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0.33329999999999999</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0.3357</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0.35539999999999999</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0.4012</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0.27160000000000001</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0.29060000000000002</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0.27150000000000002</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0.72799999999999998</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0.1104</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0.84619999999999995</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5.4100000000000002E-2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0.48649999999999999</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0.62160000000000004</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0.20480000000000001</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0.64459999999999995</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3.0999999999999999E-3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0.9425</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0.13600000000000001</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0.64459999999999995</c:v>
                </c:pt>
                <c:pt idx="3">
                  <c:v>0.53990000000000005</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0.1125</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0.1022</c:v>
                </c:pt>
                <c:pt idx="3">
                  <c:v>0.1104</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0.25059999999999999</c:v>
                </c:pt>
                <c:pt idx="3">
                  <c:v>0.28849999999999998</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9.0899999999999995E-2</c:v>
                </c:pt>
                <c:pt idx="3">
                  <c:v>8.7800000000000003E-2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0.27100000000000002</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74</v>
      </c>
      <c r="B3" s="45"/>
      <c r="C3" s="45"/>
      <c r="D3" s="45"/>
      <c r="E3" s="45"/>
      <c r="F3" s="45"/>
      <c r="G3" s="45"/>
      <c r="H3" s="45"/>
      <c r="I3" s="45"/>
      <c r="J3" s="45"/>
      <c r="K3" s="45"/>
      <c r="L3" s="45"/>
      <c r="M3" s="45"/>
      <c r="N3" s="45"/>
      <c r="O3" s="13"/>
      <c r="T3" s="59"/>
      <c r="U3" s="59"/>
    </row>
    <row r="4" spans="1:21" s="12" customFormat="1" ht="11.25" x14ac:dyDescent="0.2">
      <c r="A4" s="16" t="str">
        <f>+VLOOKUP(A3,Data!A1:CM89,2,FALSE)</f>
        <v>111 Tarrar Springs Road Building 3, Suites D and E</v>
      </c>
      <c r="B4" s="16"/>
      <c r="C4" s="15"/>
      <c r="D4" s="16"/>
      <c r="E4" s="15"/>
      <c r="F4" s="15"/>
      <c r="G4" s="16"/>
      <c r="H4" s="16"/>
      <c r="I4" s="16"/>
      <c r="J4" s="16"/>
      <c r="K4" s="11"/>
      <c r="L4" s="11"/>
      <c r="T4" s="11"/>
      <c r="U4" s="11"/>
    </row>
    <row r="5" spans="1:21" s="12" customFormat="1" ht="11.25" x14ac:dyDescent="0.2">
      <c r="A5" s="16" t="str">
        <f>+VLOOKUP(A3,Data!A1:CM89,3,FALSE)</f>
        <v>Lexington</v>
      </c>
      <c r="B5" s="16"/>
      <c r="C5" s="15"/>
      <c r="D5" s="16"/>
      <c r="E5" s="15"/>
      <c r="F5" s="15"/>
      <c r="G5" s="15" t="str">
        <f>+VLOOKUP(A3,Data!A1:CM89,4,FALSE)</f>
        <v>SC</v>
      </c>
      <c r="H5" s="15"/>
      <c r="I5" s="15">
        <f>+VLOOKUP(A3,Data!A1:CM89,5,FALSE)</f>
        <v>29072</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0.64459999999999995</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0.20480000000000001</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0.93969999999999998</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0.90849999999999997</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0.90869999999999995</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0.9425</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0.90849999999999997</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0.89039999999999997</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0.16669999999999999</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9.7199999999999995E-2</v>
      </c>
      <c r="H40" s="83" t="s">
        <v>1</v>
      </c>
      <c r="I40" s="86" t="str">
        <f>IF(OR(G40="NA",G40="**"),"NA",IF(G40&lt;C40,"Not Met","Met"))</f>
        <v>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0.48020000000000002</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0.15970000000000001</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5.2600000000000001E-2</v>
      </c>
      <c r="H49" s="83" t="s">
        <v>1</v>
      </c>
      <c r="I49" s="86" t="str">
        <f>IF(OR(G49="NA",G49="**"),"NA",IF(G49&lt;C49,"Not Met","Met"))</f>
        <v>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0.21479999999999999</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0.4667</v>
      </c>
      <c r="H55" s="83" t="s">
        <v>1</v>
      </c>
      <c r="I55" s="86" t="str">
        <f>IF(OR(G55="NA",G55="**"),"NA",IF(G55&lt;C55,"Not Met","Met"))</f>
        <v>Not 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0.36359999999999998</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0.66669999999999996</v>
      </c>
      <c r="H61" s="83" t="s">
        <v>1</v>
      </c>
      <c r="I61" s="86" t="str">
        <f>IF(OR(G61="NA",G61="**"),"NA",IF(G61&lt;C61,"Not Met","Met"))</f>
        <v>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0.33329999999999999</v>
      </c>
      <c r="H64" s="83" t="s">
        <v>1</v>
      </c>
      <c r="I64" s="86" t="str">
        <f>IF(OR(G64="NA",G64="**"),"NA",IF(G64&lt;C64,"Not Met","Met"))</f>
        <v>Not 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9.0899999999999995E-2</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0.33329999999999999</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0.3357</v>
      </c>
      <c r="H73" s="83" t="s">
        <v>1</v>
      </c>
      <c r="I73" s="86" t="str">
        <f>IF(OR(G73="NA",G73="**"),"NA",IF(G73&gt;C73,"Not Met","Met"))</f>
        <v>Not 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0.35539999999999999</v>
      </c>
      <c r="H76" s="83" t="s">
        <v>1</v>
      </c>
      <c r="I76" s="86" t="str">
        <f>IF(OR(G76="NA",G76="**"),"NA",IF(G76&gt;C76,"Not Met","Met"))</f>
        <v>Not 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0.4012</v>
      </c>
      <c r="H79" s="83" t="s">
        <v>1</v>
      </c>
      <c r="I79" s="86" t="str">
        <f>IF(OR(G79="NA",G79="**"),"NA",IF(G79&gt;C79,"Not Met","Met"))</f>
        <v>Not 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0.27160000000000001</v>
      </c>
      <c r="H82" s="83" t="s">
        <v>1</v>
      </c>
      <c r="I82" s="86" t="str">
        <f>IF(OR(G82="NA",G82="**"),"NA",IF(G82&gt;C82,"Not Met","Met"))</f>
        <v>Not 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0.29060000000000002</v>
      </c>
      <c r="H85" s="83" t="s">
        <v>1</v>
      </c>
      <c r="I85" s="86" t="str">
        <f>IF(OR(G85="NA",G85="**"),"NA",IF(G85&gt;C85,"Not Met","Met"))</f>
        <v>Not 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0.27150000000000002</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Yes</v>
      </c>
      <c r="H95" s="83" t="s">
        <v>1</v>
      </c>
      <c r="I95" s="86" t="str">
        <f>IF(OR(G95="NA",G95="**"),"NA",IF(G95="No","Met",IF(G95="Yes","Not Met")))</f>
        <v>Not 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0.72799999999999998</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0.1104</v>
      </c>
      <c r="H102" s="83" t="s">
        <v>1</v>
      </c>
      <c r="I102" s="86" t="str">
        <f>IF(OR(G102="NA",G102="**"),"NA",IF(G102&gt;C102,"Not Met","Met"))</f>
        <v>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3.0999999999999999E-3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3.4500000000000003E-2</v>
      </c>
      <c r="H109" s="83" t="s">
        <v>1</v>
      </c>
      <c r="I109" s="86" t="str">
        <f>IF(OR(G109="NA",G109="**"),"NA",IF(G109&lt;C109,"Not Met","Met"))</f>
        <v>Not 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0.1938</v>
      </c>
      <c r="H112" s="83" t="s">
        <v>1</v>
      </c>
      <c r="I112" s="86" t="str">
        <f t="shared" ref="I112:I180" si="3">IF(OR(G112="NA",G112="**"),"NA",IF(G112&lt;C112,"Not Met","Met"))</f>
        <v>Not 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0.1905</v>
      </c>
      <c r="H115" s="83" t="s">
        <v>1</v>
      </c>
      <c r="I115" s="86" t="str">
        <f t="shared" si="3"/>
        <v>Not 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0.43099999999999999</v>
      </c>
      <c r="H118" s="83" t="s">
        <v>1</v>
      </c>
      <c r="I118" s="86" t="str">
        <f>IF(OR(G118="NA",G118="**"),"NA",IF(G118&gt;C118,"Not Met","Met"))</f>
        <v>Not 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0.24030000000000001</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0.1905</v>
      </c>
      <c r="H124" s="83" t="s">
        <v>1</v>
      </c>
      <c r="I124" s="86" t="str">
        <f>IF(OR(G124="NA",G124="**"),"NA",IF(G124&gt;C124,"Not Met","Met"))</f>
        <v>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5.1700000000000003E-2</v>
      </c>
      <c r="H127" s="83" t="s">
        <v>1</v>
      </c>
      <c r="I127" s="86" t="str">
        <f>IF(OR(G127="NA",G127="**"),"NA",IF(G127&gt;C127,"Not Met","Met"))</f>
        <v>Not 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6.2E-2</v>
      </c>
      <c r="H130" s="83" t="s">
        <v>1</v>
      </c>
      <c r="I130" s="86" t="str">
        <f>IF(OR(G130="NA",G130="**"),"NA",IF(G130&gt;C130,"Not Met","Met"))</f>
        <v>Not 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f>VLOOKUP(A3,Data!A1:CM89,74,FALSE)</f>
        <v>0.1905</v>
      </c>
      <c r="H133" s="83" t="s">
        <v>1</v>
      </c>
      <c r="I133" s="86" t="str">
        <f>IF(OR(G133="NA",G133="**"),"NA",IF(G133&gt;C133,"Not Met","Met"))</f>
        <v>Not Met</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0.79390000000000005</v>
      </c>
      <c r="H138" s="83" t="s">
        <v>1</v>
      </c>
      <c r="I138" s="86" t="str">
        <f t="shared" si="3"/>
        <v>Not 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0.58140000000000003</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0.7792</v>
      </c>
      <c r="H146" s="83" t="s">
        <v>1</v>
      </c>
      <c r="I146" s="86" t="str">
        <f t="shared" si="3"/>
        <v>Not 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0.60929999999999995</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0.87419999999999998</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0.71160000000000001</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0.92700000000000005</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0.84619999999999995</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0.7097</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5.4100000000000002E-2</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0.48649999999999999</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0.62160000000000004</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Lexington 1</v>
      </c>
      <c r="B3" s="45"/>
      <c r="C3" s="45"/>
      <c r="D3" s="45"/>
      <c r="E3" s="45"/>
      <c r="F3" s="45"/>
      <c r="G3" s="45"/>
      <c r="H3" s="13"/>
      <c r="I3" s="13"/>
      <c r="J3" s="13"/>
    </row>
    <row r="4" spans="1:10" x14ac:dyDescent="0.2">
      <c r="A4" s="16" t="str">
        <f>VLOOKUP(A3,Data!A1:CM89,2,FALSE)</f>
        <v>111 Tarrar Springs Road Building 3, Suites D and E</v>
      </c>
      <c r="B4" s="16"/>
      <c r="C4" s="16"/>
      <c r="D4" s="16"/>
      <c r="E4" s="16"/>
      <c r="F4" s="11"/>
      <c r="G4" s="11"/>
    </row>
    <row r="5" spans="1:10" x14ac:dyDescent="0.2">
      <c r="A5" s="16" t="str">
        <f>VLOOKUP(A3,Data!A1:CM89,3,FALSE)</f>
        <v>Lexington</v>
      </c>
      <c r="B5" s="16"/>
      <c r="C5" s="15" t="str">
        <f>VLOOKUP(A3,Data!A1:CM89,4,FALSE)</f>
        <v>SC</v>
      </c>
      <c r="D5" s="15">
        <f>VLOOKUP(A3,Data!A1:CM89,5,FALSE)</f>
        <v>29072</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2</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All Indicator 13 corrections made and verified within designated review timeframe</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2</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 xml:space="preserve">95% or above combined compliance rate for Indicators 11 and 12 </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19</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0.64459999999999995</v>
      </c>
      <c r="D32" s="33"/>
      <c r="E32" s="29"/>
      <c r="F32" s="29"/>
      <c r="G32" s="29"/>
      <c r="H32" s="29"/>
      <c r="I32" s="29"/>
      <c r="J32" s="29"/>
    </row>
    <row r="33" spans="1:10" ht="11.25" customHeight="1" x14ac:dyDescent="0.2">
      <c r="A33" s="24"/>
      <c r="B33" s="52" t="s">
        <v>323</v>
      </c>
      <c r="C33" s="70">
        <f>VLOOKUP(A3,Data!A1:CM89,15,FALSE)</f>
        <v>0.53990000000000005</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3</v>
      </c>
      <c r="C36" s="26" t="str">
        <f>IF(B36=0,"Does not meet prior year’s state performance and did not improve",
IF(B36=1,"Does not meet prior year’s state performance but improved since last year",
IF(B36=2,"Meets or exceeds prior year’s state performance",
IF(B36=3,"Meets or exceeds current state target",""))))</f>
        <v>Meets or exceeds current state target</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0.13600000000000001</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1</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but improved since last year</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0.1125</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3</v>
      </c>
      <c r="C52" s="26" t="str">
        <f>IF(B52=0,"Does not meet prior year’s state performance and did not improve",
IF(B52=1,"Does not meet prior year’s state performance but improved since last year",
IF(B52=2,"Meets or exceeds prior year’s state performance",
IF(B52=3,"Meets or exceeds current state target",""))))</f>
        <v>Meets or exceeds current state target</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0.1022</v>
      </c>
      <c r="D56" s="33"/>
      <c r="E56" s="29"/>
      <c r="F56" s="29"/>
      <c r="G56" s="29"/>
      <c r="H56" s="29"/>
      <c r="I56" s="29"/>
      <c r="J56" s="29"/>
    </row>
    <row r="57" spans="1:10" ht="11.25" customHeight="1" x14ac:dyDescent="0.2">
      <c r="A57" s="24"/>
      <c r="B57" s="52" t="s">
        <v>323</v>
      </c>
      <c r="C57" s="70">
        <f>VLOOKUP(A3,Data!A1:CM89,24,FALSE)</f>
        <v>0.1104</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0.25059999999999999</v>
      </c>
      <c r="D64" s="33"/>
      <c r="E64" s="29"/>
      <c r="F64" s="29"/>
      <c r="G64" s="29"/>
      <c r="H64" s="29"/>
      <c r="I64" s="29"/>
      <c r="J64" s="29"/>
    </row>
    <row r="65" spans="1:10" ht="11.25" customHeight="1" x14ac:dyDescent="0.2">
      <c r="A65" s="24"/>
      <c r="B65" s="52" t="s">
        <v>323</v>
      </c>
      <c r="C65" s="70">
        <f>VLOOKUP(A3,Data!A1:CM89,27,FALSE)</f>
        <v>0.28849999999999998</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9.0899999999999995E-2</v>
      </c>
      <c r="D72" s="33"/>
      <c r="E72" s="29"/>
      <c r="F72" s="29"/>
      <c r="G72" s="29"/>
      <c r="H72" s="29"/>
      <c r="I72" s="29"/>
      <c r="J72" s="29"/>
    </row>
    <row r="73" spans="1:10" ht="11.25" customHeight="1" x14ac:dyDescent="0.2">
      <c r="A73" s="24"/>
      <c r="B73" s="52" t="s">
        <v>323</v>
      </c>
      <c r="C73" s="70">
        <f>VLOOKUP(A3,Data!A1:CM89,30,FALSE)</f>
        <v>8.7800000000000003E-2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3</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current state target</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0.27100000000000002</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16</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19</v>
      </c>
      <c r="B87" s="51">
        <f>B83</f>
        <v>16</v>
      </c>
      <c r="C87" s="51">
        <f>SUM(A87:B87)</f>
        <v>35</v>
      </c>
      <c r="D87" s="80">
        <f>VLOOKUP(A3,Data!A1:CM89,91,FALSE)</f>
        <v>42</v>
      </c>
      <c r="E87" s="51">
        <f>VLOOKUP(A3,Data!A1:CM89,34,FALSE)</f>
        <v>0</v>
      </c>
      <c r="F87" s="42">
        <f>SUM(A87,B87,E87)/D87</f>
        <v>0.83333333333333337</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2022-12-06T17:55:39Z</dcterms:modified>
</cp:coreProperties>
</file>