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nhv2NpUTcadPOD6TZb3ZaAvdQrfvNPx0Jq4aC8vxN+jJLWwuMGHCbB8JUwZ7hKW/PcoAWSLbkQvi5p28PRs9+A==" workbookSaltValue="D7MKRez1KDR8coQ9RHgaug=="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<sst xmlns="http://schemas.openxmlformats.org/spreadsheetml/2006/main" count="2178" uniqueCount="508">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</sst>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0.66669999999999996</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0.33329999999999999</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0.85289999999999999</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0.36109999999999998</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0.77780000000000005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0.36359999999999998</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0.72729999999999995</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0.44440000000000002</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0.84209999999999996</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0.86360000000000003</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0.82979999999999998</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0.4</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0.85109999999999997</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0.80430000000000001</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0.77780000000000005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7.5499999999999998E-2</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8.1100000000000005E-2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0.2051</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5.3600000000000002E-2</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6.6699999999999995E-2</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0.25</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0</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0.5</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0.25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0.1134</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0.1482</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0.44919999999999999</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2.47E-2</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6.4899999999999999E-2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0.18740000000000001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0.68659999999999999</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0.1198</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0.75639999999999996</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9.0899999999999995E-2</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0.54549999999999998</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0.72729999999999995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0.25929999999999997</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0.72219999999999995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4.5999999999999999E-3</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0.95240000000000002</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7.7799999999999994E-2</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0.72219999999999995</c:v>
                </c:pt>
                <c:pt idx="3">
                  <c:v>0.43640000000000001</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3.3000000000000002E-2</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0.1076</c:v>
                </c:pt>
                <c:pt idx="3">
                  <c:v>0.1198</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c:v>
                </c:pt>
                <c:pt idx="3">
                  <c:v>0</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0.27079999999999999</c:v>
                </c:pt>
                <c:pt idx="3">
                  <c:v>8.4699999999999998E-2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0.13100000000000001</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0.81820000000000004</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79</v>
      </c>
      <c r="B3" s="45"/>
      <c r="C3" s="45"/>
      <c r="D3" s="45"/>
      <c r="E3" s="45"/>
      <c r="F3" s="45"/>
      <c r="G3" s="45"/>
      <c r="H3" s="45"/>
      <c r="I3" s="45"/>
      <c r="J3" s="45"/>
      <c r="K3" s="45"/>
      <c r="L3" s="45"/>
      <c r="M3" s="45"/>
      <c r="N3" s="45"/>
      <c r="O3" s="13"/>
      <c r="T3" s="59"/>
      <c r="U3" s="59"/>
    </row>
    <row r="4" spans="1:21" s="12" customFormat="1" ht="11.25" x14ac:dyDescent="0.2">
      <c r="A4" s="16" t="str">
        <f>+VLOOKUP(A3,Data!A1:CM89,2,FALSE)</f>
        <v>719 North Main Street</v>
      </c>
      <c r="B4" s="16"/>
      <c r="C4" s="15"/>
      <c r="D4" s="16"/>
      <c r="E4" s="15"/>
      <c r="F4" s="15"/>
      <c r="G4" s="16"/>
      <c r="H4" s="16"/>
      <c r="I4" s="16"/>
      <c r="J4" s="16"/>
      <c r="K4" s="11"/>
      <c r="L4" s="11"/>
      <c r="T4" s="11"/>
      <c r="U4" s="11"/>
    </row>
    <row r="5" spans="1:21" s="12" customFormat="1" ht="11.25" x14ac:dyDescent="0.2">
      <c r="A5" s="16" t="str">
        <f>+VLOOKUP(A3,Data!A1:CM89,3,FALSE)</f>
        <v>Marion</v>
      </c>
      <c r="B5" s="16"/>
      <c r="C5" s="15"/>
      <c r="D5" s="16"/>
      <c r="E5" s="15"/>
      <c r="F5" s="15"/>
      <c r="G5" s="15" t="str">
        <f>+VLOOKUP(A3,Data!A1:CM89,4,FALSE)</f>
        <v>NC</v>
      </c>
      <c r="H5" s="15"/>
      <c r="I5" s="15">
        <f>+VLOOKUP(A3,Data!A1:CM89,5,FALSE)</f>
        <v>29571</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0.72219999999999995</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0.25929999999999997</v>
      </c>
      <c r="H15" s="83" t="s">
        <v>1</v>
      </c>
      <c r="I15" s="86" t="str">
        <f>IF(OR(G15="NA",G15="**"),"NA",IF(G15&gt;C15,"Not Met","Met"))</f>
        <v>Not 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0.86360000000000003</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0.82979999999999998</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0.85109999999999997</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0.95240000000000002</v>
      </c>
      <c r="H28" s="83" t="s">
        <v>1</v>
      </c>
      <c r="I28" s="86" t="str">
        <f>IF(OR(G28="NA",G28="**"),"NA",IF(G28&lt;C28,"Not Met","Met"))</f>
        <v>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0.80430000000000001</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0.77780000000000005</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7.5499999999999998E-2</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8.1100000000000005E-2</v>
      </c>
      <c r="H40" s="83" t="s">
        <v>1</v>
      </c>
      <c r="I40" s="86" t="str">
        <f>IF(OR(G40="NA",G40="**"),"NA",IF(G40&lt;C40,"Not Met","Met"))</f>
        <v>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0.2051</v>
      </c>
      <c r="H43" s="83" t="s">
        <v>1</v>
      </c>
      <c r="I43" s="86" t="str">
        <f>IF(OR(G43="NA",G43="**"),"NA",IF(G43&lt;C43,"Not Met","Met"))</f>
        <v>Not 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5.3600000000000002E-2</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6.6699999999999995E-2</v>
      </c>
      <c r="H52" s="83" t="s">
        <v>1</v>
      </c>
      <c r="I52" s="86" t="str">
        <f>IF(OR(G52="NA",G52="**"),"NA",IF(G52&lt;C52,"Not Met","Met"))</f>
        <v>Not 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f>VLOOKUP(A3,Data!A1:CM89,49,FALSE)</f>
        <v>0.25</v>
      </c>
      <c r="H55" s="83" t="s">
        <v>1</v>
      </c>
      <c r="I55" s="86" t="str">
        <f>IF(OR(G55="NA",G55="**"),"NA",IF(G55&lt;C55,"Not Met","Met"))</f>
        <v>Not Met</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0</v>
      </c>
      <c r="H58" s="83" t="s">
        <v>1</v>
      </c>
      <c r="I58" s="86" t="str">
        <f>IF(OR(G58="NA",G58="**"),"NA",IF(G58&lt;C58,"Not Met","Met"))</f>
        <v>Not 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v>
      </c>
      <c r="H61" s="83" t="s">
        <v>1</v>
      </c>
      <c r="I61" s="86" t="str">
        <f>IF(OR(G61="NA",G61="**"),"NA",IF(G61&lt;C61,"Not Met","Met"))</f>
        <v>Not 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f>VLOOKUP(A3,Data!A1:CM89,52,FALSE)</f>
        <v>0</v>
      </c>
      <c r="H64" s="83" t="s">
        <v>1</v>
      </c>
      <c r="I64" s="86" t="str">
        <f>IF(OR(G64="NA",G64="**"),"NA",IF(G64&lt;C64,"Not Met","Met"))</f>
        <v>Not Met</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0.5</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0.25</v>
      </c>
      <c r="H70" s="83" t="s">
        <v>1</v>
      </c>
      <c r="I70" s="86" t="str">
        <f>IF(OR(G70="NA",G70="**"),"NA",IF(G70&lt;C70,"Not Met","Met"))</f>
        <v>Not 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0.1134</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0.1482</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0.44919999999999999</v>
      </c>
      <c r="H79" s="83" t="s">
        <v>1</v>
      </c>
      <c r="I79" s="86" t="str">
        <f>IF(OR(G79="NA",G79="**"),"NA",IF(G79&gt;C79,"Not Met","Met"))</f>
        <v>Not 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2.47E-2</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6.4899999999999999E-2</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0.18740000000000001</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Yes</v>
      </c>
      <c r="H92" s="83" t="s">
        <v>1</v>
      </c>
      <c r="I92" s="86" t="str">
        <f t="shared" ref="I92" si="1">IF(OR(G92="NA",G92="**"),"NA",IF(G92="No","Met",IF(G92="Yes","Not Met")))</f>
        <v>Not 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0.68659999999999999</v>
      </c>
      <c r="H99" s="83" t="s">
        <v>1</v>
      </c>
      <c r="I99" s="86" t="str">
        <f t="shared" ref="I99" si="2">IF(OR(G99="NA",G99="**"),"NA",IF(G99&lt;C99,"Not Met","Met"))</f>
        <v>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0.1198</v>
      </c>
      <c r="H102" s="83" t="s">
        <v>1</v>
      </c>
      <c r="I102" s="86" t="str">
        <f>IF(OR(G102="NA",G102="**"),"NA",IF(G102&gt;C102,"Not Met","Met"))</f>
        <v>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4.5999999999999999E-3</v>
      </c>
      <c r="H105" s="83" t="s">
        <v>1</v>
      </c>
      <c r="I105" s="86" t="str">
        <f>IF(OR(G105="NA",G105="**"),"NA",IF(G105&gt;C105,"Not Met","Met"))</f>
        <v>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0.66669999999999996</v>
      </c>
      <c r="H109" s="83" t="s">
        <v>1</v>
      </c>
      <c r="I109" s="86" t="str">
        <f>IF(OR(G109="NA",G109="**"),"NA",IF(G109&lt;C109,"Not Met","Met"))</f>
        <v>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0.72729999999999995</v>
      </c>
      <c r="H112" s="83" t="s">
        <v>1</v>
      </c>
      <c r="I112" s="86" t="str">
        <f t="shared" ref="I112:I180" si="3">IF(OR(G112="NA",G112="**"),"NA",IF(G112&lt;C112,"Not Met","Met"))</f>
        <v>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0.4</v>
      </c>
      <c r="H115" s="83" t="s">
        <v>1</v>
      </c>
      <c r="I115" s="86" t="str">
        <f t="shared" si="3"/>
        <v>Not 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v>
      </c>
      <c r="H121" s="83" t="s">
        <v>1</v>
      </c>
      <c r="I121" s="86" t="str">
        <f>IF(OR(G121="NA",G121="**"),"NA",IF(G121&gt;C121,"Not Met","Met"))</f>
        <v>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f>VLOOKUP(A3,Data!A1:CM89,73,FALSE)</f>
        <v>0</v>
      </c>
      <c r="H130" s="83" t="s">
        <v>1</v>
      </c>
      <c r="I130" s="86" t="str">
        <f>IF(OR(G130="NA",G130="**"),"NA",IF(G130&gt;C130,"Not Met","Met"))</f>
        <v>Met</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0.81820000000000004</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0.33329999999999999</v>
      </c>
      <c r="H142" s="83" t="s">
        <v>1</v>
      </c>
      <c r="I142" s="86" t="str">
        <f t="shared" si="3"/>
        <v>Not 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0.85289999999999999</v>
      </c>
      <c r="H146" s="83" t="s">
        <v>1</v>
      </c>
      <c r="I146" s="86" t="str">
        <f t="shared" si="3"/>
        <v>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0.36109999999999998</v>
      </c>
      <c r="H150" s="83" t="s">
        <v>1</v>
      </c>
      <c r="I150" s="86" t="str">
        <f t="shared" si="3"/>
        <v>Not 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0.77780000000000005</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0.44440000000000002</v>
      </c>
      <c r="H158" s="83" t="s">
        <v>1</v>
      </c>
      <c r="I158" s="86" t="str">
        <f t="shared" si="3"/>
        <v>Not 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0.84209999999999996</v>
      </c>
      <c r="H162" s="83" t="s">
        <v>1</v>
      </c>
      <c r="I162" s="86" t="str">
        <f t="shared" ref="I162" si="4">IF(OR(G162="NA",G162="**"),"NA",IF(G162&lt;C162,"Not Met","Met"))</f>
        <v>Not 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0.75639999999999996</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0.36359999999999998</v>
      </c>
      <c r="H180" s="83" t="s">
        <v>1</v>
      </c>
      <c r="I180" s="86" t="str">
        <f t="shared" si="3"/>
        <v>Not 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9.0899999999999995E-2</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0.54549999999999998</v>
      </c>
      <c r="H193" s="83" t="s">
        <v>1</v>
      </c>
      <c r="I193" s="86" t="str">
        <f>IF(OR(G193="NA",G193="**"),"NA",IF(G193&lt;C193,"Not Met","Met"))</f>
        <v>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0.72729999999999995</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Marion</v>
      </c>
      <c r="B3" s="45"/>
      <c r="C3" s="45"/>
      <c r="D3" s="45"/>
      <c r="E3" s="45"/>
      <c r="F3" s="45"/>
      <c r="G3" s="45"/>
      <c r="H3" s="13"/>
      <c r="I3" s="13"/>
      <c r="J3" s="13"/>
    </row>
    <row r="4" spans="1:10" x14ac:dyDescent="0.2">
      <c r="A4" s="16" t="str">
        <f>VLOOKUP(A3,Data!A1:CM89,2,FALSE)</f>
        <v>719 North Main Street</v>
      </c>
      <c r="B4" s="16"/>
      <c r="C4" s="16"/>
      <c r="D4" s="16"/>
      <c r="E4" s="16"/>
      <c r="F4" s="11"/>
      <c r="G4" s="11"/>
    </row>
    <row r="5" spans="1:10" x14ac:dyDescent="0.2">
      <c r="A5" s="16" t="str">
        <f>VLOOKUP(A3,Data!A1:CM89,3,FALSE)</f>
        <v>Marion</v>
      </c>
      <c r="B5" s="16"/>
      <c r="C5" s="15" t="str">
        <f>VLOOKUP(A3,Data!A1:CM89,4,FALSE)</f>
        <v>NC</v>
      </c>
      <c r="D5" s="15">
        <f>VLOOKUP(A3,Data!A1:CM89,5,FALSE)</f>
        <v>29571</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2</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20</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0.72219999999999995</v>
      </c>
      <c r="D32" s="33"/>
      <c r="E32" s="29"/>
      <c r="F32" s="29"/>
      <c r="G32" s="29"/>
      <c r="H32" s="29"/>
      <c r="I32" s="29"/>
      <c r="J32" s="29"/>
    </row>
    <row r="33" spans="1:10" ht="11.25" customHeight="1" x14ac:dyDescent="0.2">
      <c r="A33" s="24"/>
      <c r="B33" s="52" t="s">
        <v>323</v>
      </c>
      <c r="C33" s="70">
        <f>VLOOKUP(A3,Data!A1:CM89,15,FALSE)</f>
        <v>0.43640000000000001</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1</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but improved since last year</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7.7799999999999994E-2</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1</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but improved since last year</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3.3000000000000002E-2</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3</v>
      </c>
      <c r="C52" s="26" t="str">
        <f>IF(B52=0,"Does not meet prior year’s state performance and did not improve",
IF(B52=1,"Does not meet prior year’s state performance but improved since last year",
IF(B52=2,"Meets or exceeds prior year’s state performance",
IF(B52=3,"Meets or exceeds current state target",""))))</f>
        <v>Meets or exceeds current state target</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0.1076</v>
      </c>
      <c r="D56" s="33"/>
      <c r="E56" s="29"/>
      <c r="F56" s="29"/>
      <c r="G56" s="29"/>
      <c r="H56" s="29"/>
      <c r="I56" s="29"/>
      <c r="J56" s="29"/>
    </row>
    <row r="57" spans="1:10" ht="11.25" customHeight="1" x14ac:dyDescent="0.2">
      <c r="A57" s="24"/>
      <c r="B57" s="52" t="s">
        <v>323</v>
      </c>
      <c r="C57" s="70">
        <f>VLOOKUP(A3,Data!A1:CM89,24,FALSE)</f>
        <v>0.1198</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v>
      </c>
      <c r="D64" s="33"/>
      <c r="E64" s="29"/>
      <c r="F64" s="29"/>
      <c r="G64" s="29"/>
      <c r="H64" s="29"/>
      <c r="I64" s="29"/>
      <c r="J64" s="29"/>
    </row>
    <row r="65" spans="1:10" ht="11.25" customHeight="1" x14ac:dyDescent="0.2">
      <c r="A65" s="24"/>
      <c r="B65" s="52" t="s">
        <v>323</v>
      </c>
      <c r="C65" s="70">
        <f>VLOOKUP(A3,Data!A1:CM89,27,FALSE)</f>
        <v>0</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0.27079999999999999</v>
      </c>
      <c r="D72" s="33"/>
      <c r="E72" s="29"/>
      <c r="F72" s="29"/>
      <c r="G72" s="29"/>
      <c r="H72" s="29"/>
      <c r="I72" s="29"/>
      <c r="J72" s="29"/>
    </row>
    <row r="73" spans="1:10" ht="11.25" customHeight="1" x14ac:dyDescent="0.2">
      <c r="A73" s="24"/>
      <c r="B73" s="52" t="s">
        <v>323</v>
      </c>
      <c r="C73" s="70">
        <f>VLOOKUP(A3,Data!A1:CM89,30,FALSE)</f>
        <v>8.4699999999999998E-2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1</v>
      </c>
      <c r="C76" s="26" t="str">
        <f>IF(B76=0,"Does not meet prior year’s state performance and did not improve",
IF(B76=1,"Does not meet prior year’s state performance but improved since last year",
IF(B76=2,"Meets or exceeds prior year’s state performance",
IF(B76=3,"Meets or exceeds current state target",""))))</f>
        <v>Does not meet prior year’s state performance but improved since last year</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0.13100000000000001</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12</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20</v>
      </c>
      <c r="B87" s="51">
        <f>B83</f>
        <v>12</v>
      </c>
      <c r="C87" s="51">
        <f>SUM(A87:B87)</f>
        <v>32</v>
      </c>
      <c r="D87" s="80">
        <f>VLOOKUP(A3,Data!A1:CM89,91,FALSE)</f>
        <v>42</v>
      </c>
      <c r="E87" s="51">
        <f>VLOOKUP(A3,Data!A1:CM89,34,FALSE)</f>
        <v>0</v>
      </c>
      <c r="F87" s="42">
        <f>SUM(A87,B87,E87)/D87</f>
        <v>0.76190476190476186</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2022-12-06T17:55:44Z</dcterms:modified>
</cp:coreProperties>
</file>