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B3meRDpzJqqojijlZd48J/xsXdcjYNzS1gJ1YRpZOHNTCCgtlD+yB6kSClAbR6ySCDhJtsbyf02nRHTSv+Fa7g==" workbookSaltValue="k7HRb0jiZaZ6bwL/dIRlPg=="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<sst xmlns="http://schemas.openxmlformats.org/spreadsheetml/2006/main" count="2178" uniqueCount="508">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</sst>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0.1</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0.33329999999999999</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0.4</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0.1333</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0.2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0</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0</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0.78129999999999999</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0.56759999999999999</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0.75</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0.48649999999999999</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0.80649999999999999</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0.2</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0.5333</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0.64859999999999995</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0.93620000000000003</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0.80769999999999997</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0.79249999999999998</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0.91669999999999996</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0.79630000000000001</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0.69469999999999998</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0.1905</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4.8800000000000003E-2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0.2545</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0.23530000000000001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7.1400000000000005E-2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0.1515</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0.2084</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0.2712</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0.51959999999999995</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0.1203</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0.1968</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0.36070000000000002</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0.72699999999999998</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0.16489999999999999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0.92520000000000002</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0.12770000000000001</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0.23400000000000001</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0.8085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0.35709999999999997</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1.2200000000000001E-2</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0.8831</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0.1346</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c:v>
                </c:pt>
                <c:pt idx="3">
                  <c:v>0.125</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0.17269999999999999</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0.1406</c:v>
                </c:pt>
                <c:pt idx="3">
                  <c:v>0.16489999999999999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0.1014</c:v>
                </c:pt>
                <c:pt idx="3">
                  <c:v>0.19350000000000001</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0.13009999999999999</c:v>
                </c:pt>
                <c:pt idx="3">
                  <c:v>8.6900000000000005E-2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1</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0.14299999999999999</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82</v>
      </c>
      <c r="B3" s="45"/>
      <c r="C3" s="45"/>
      <c r="D3" s="45"/>
      <c r="E3" s="45"/>
      <c r="F3" s="45"/>
      <c r="G3" s="45"/>
      <c r="H3" s="45"/>
      <c r="I3" s="45"/>
      <c r="J3" s="45"/>
      <c r="K3" s="45"/>
      <c r="L3" s="45"/>
      <c r="M3" s="45"/>
      <c r="N3" s="45"/>
      <c r="O3" s="13"/>
      <c r="T3" s="59"/>
      <c r="U3" s="59"/>
    </row>
    <row r="4" spans="1:21" s="12" customFormat="1" ht="11.25" x14ac:dyDescent="0.2">
      <c r="A4" s="16" t="str">
        <f>+VLOOKUP(A3,Data!A1:CM89,2,FALSE)</f>
        <v>P. O. Box 718</v>
      </c>
      <c r="B4" s="16"/>
      <c r="C4" s="15"/>
      <c r="D4" s="16"/>
      <c r="E4" s="15"/>
      <c r="F4" s="15"/>
      <c r="G4" s="16"/>
      <c r="H4" s="16"/>
      <c r="I4" s="16"/>
      <c r="J4" s="16"/>
      <c r="K4" s="11"/>
      <c r="L4" s="11"/>
      <c r="T4" s="11"/>
      <c r="U4" s="11"/>
    </row>
    <row r="5" spans="1:21" s="12" customFormat="1" ht="11.25" x14ac:dyDescent="0.2">
      <c r="A5" s="16" t="str">
        <f>+VLOOKUP(A3,Data!A1:CM89,3,FALSE)</f>
        <v>Newberry</v>
      </c>
      <c r="B5" s="16"/>
      <c r="C5" s="15"/>
      <c r="D5" s="16"/>
      <c r="E5" s="15"/>
      <c r="F5" s="15"/>
      <c r="G5" s="15" t="str">
        <f>+VLOOKUP(A3,Data!A1:CM89,4,FALSE)</f>
        <v>SC</v>
      </c>
      <c r="H5" s="15"/>
      <c r="I5" s="15">
        <f>+VLOOKUP(A3,Data!A1:CM89,5,FALSE)</f>
        <v>29108</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v>
      </c>
      <c r="H11" s="83" t="s">
        <v>1</v>
      </c>
      <c r="I11" s="86" t="str">
        <f t="shared" ref="I11" si="0">IF(OR(G11="NA",G11="**"),"NA",IF(G11&lt;C11,"Not Met","Met"))</f>
        <v>Not 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0.35709999999999997</v>
      </c>
      <c r="H15" s="83" t="s">
        <v>1</v>
      </c>
      <c r="I15" s="86" t="str">
        <f>IF(OR(G15="NA",G15="**"),"NA",IF(G15&gt;C15,"Not Met","Met"))</f>
        <v>Not 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0.80769999999999997</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0.79249999999999998</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0.91669999999999996</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0.8831</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0.79630000000000001</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0.69469999999999998</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0.1905</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4.8800000000000003E-2</v>
      </c>
      <c r="H40" s="83" t="s">
        <v>1</v>
      </c>
      <c r="I40" s="86" t="str">
        <f>IF(OR(G40="NA",G40="**"),"NA",IF(G40&lt;C40,"Not Met","Met"))</f>
        <v>Not 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0.2545</v>
      </c>
      <c r="H43" s="83" t="s">
        <v>1</v>
      </c>
      <c r="I43" s="86" t="str">
        <f>IF(OR(G43="NA",G43="**"),"NA",IF(G43&lt;C43,"Not Met","Met"))</f>
        <v>Not 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0.23530000000000001</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7.1400000000000005E-2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0.1515</v>
      </c>
      <c r="H52" s="83" t="s">
        <v>1</v>
      </c>
      <c r="I52" s="86" t="str">
        <f>IF(OR(G52="NA",G52="**"),"NA",IF(G52&lt;C52,"Not Met","Met"))</f>
        <v>Not 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t="str">
        <f>VLOOKUP(A3,Data!A1:CM89,49,FALSE)</f>
        <v>NA</v>
      </c>
      <c r="H55" s="83" t="s">
        <v>1</v>
      </c>
      <c r="I55" s="86" t="str">
        <f>IF(OR(G55="NA",G55="**"),"NA",IF(G55&lt;C55,"Not Met","Met"))</f>
        <v>NA</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v>
      </c>
      <c r="H58" s="83" t="s">
        <v>1</v>
      </c>
      <c r="I58" s="86" t="str">
        <f>IF(OR(G58="NA",G58="**"),"NA",IF(G58&lt;C58,"Not Met","Met"))</f>
        <v>Not 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t="str">
        <f>VLOOKUP(A3,Data!A1:CM89,51,FALSE)</f>
        <v>NA</v>
      </c>
      <c r="H61" s="83" t="s">
        <v>1</v>
      </c>
      <c r="I61" s="86" t="str">
        <f>IF(OR(G61="NA",G61="**"),"NA",IF(G61&lt;C61,"Not Met","Met"))</f>
        <v>NA</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t="str">
        <f>VLOOKUP(A3,Data!A1:CM89,52,FALSE)</f>
        <v>NA</v>
      </c>
      <c r="H64" s="83" t="s">
        <v>1</v>
      </c>
      <c r="I64" s="86" t="str">
        <f>IF(OR(G64="NA",G64="**"),"NA",IF(G64&lt;C64,"Not Met","Met"))</f>
        <v>NA</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v>
      </c>
      <c r="H67" s="83" t="s">
        <v>1</v>
      </c>
      <c r="I67" s="86" t="str">
        <f>IF(OR(G67="NA",G67="**"),"NA",IF(G67&lt;C67,"Not Met","Met"))</f>
        <v>Not 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t="str">
        <f>VLOOKUP(A3,Data!A1:CM89,54,FALSE)</f>
        <v>NA</v>
      </c>
      <c r="H70" s="83" t="s">
        <v>1</v>
      </c>
      <c r="I70" s="86" t="str">
        <f>IF(OR(G70="NA",G70="**"),"NA",IF(G70&lt;C70,"Not Met","Met"))</f>
        <v>NA</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0.2084</v>
      </c>
      <c r="H73" s="83" t="s">
        <v>1</v>
      </c>
      <c r="I73" s="86" t="str">
        <f>IF(OR(G73="NA",G73="**"),"NA",IF(G73&gt;C73,"Not Met","Met"))</f>
        <v>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0.2712</v>
      </c>
      <c r="H76" s="83" t="s">
        <v>1</v>
      </c>
      <c r="I76" s="86" t="str">
        <f>IF(OR(G76="NA",G76="**"),"NA",IF(G76&gt;C76,"Not Met","Met"))</f>
        <v>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0.51959999999999995</v>
      </c>
      <c r="H79" s="83" t="s">
        <v>1</v>
      </c>
      <c r="I79" s="86" t="str">
        <f>IF(OR(G79="NA",G79="**"),"NA",IF(G79&gt;C79,"Not Met","Met"))</f>
        <v>Not 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0.1203</v>
      </c>
      <c r="H82" s="83" t="s">
        <v>1</v>
      </c>
      <c r="I82" s="86" t="str">
        <f>IF(OR(G82="NA",G82="**"),"NA",IF(G82&gt;C82,"Not Met","Met"))</f>
        <v>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0.1968</v>
      </c>
      <c r="H85" s="83" t="s">
        <v>1</v>
      </c>
      <c r="I85" s="86" t="str">
        <f>IF(OR(G85="NA",G85="**"),"NA",IF(G85&gt;C85,"Not Met","Met"))</f>
        <v>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0.36070000000000002</v>
      </c>
      <c r="H88" s="83" t="s">
        <v>1</v>
      </c>
      <c r="I88" s="86" t="str">
        <f>IF(OR(G88="NA",G88="**"),"NA",IF(G88&gt;C88,"Not Met","Met"))</f>
        <v>Not 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0.72699999999999998</v>
      </c>
      <c r="H99" s="83" t="s">
        <v>1</v>
      </c>
      <c r="I99" s="86" t="str">
        <f t="shared" ref="I99" si="2">IF(OR(G99="NA",G99="**"),"NA",IF(G99&lt;C99,"Not Met","Met"))</f>
        <v>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0.16489999999999999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1.2200000000000001E-2</v>
      </c>
      <c r="H105" s="83" t="s">
        <v>1</v>
      </c>
      <c r="I105" s="86" t="str">
        <f>IF(OR(G105="NA",G105="**"),"NA",IF(G105&gt;C105,"Not Met","Met"))</f>
        <v>Not 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0.1</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0.5333</v>
      </c>
      <c r="H112" s="83" t="s">
        <v>1</v>
      </c>
      <c r="I112" s="86" t="str">
        <f t="shared" ref="I112:I180" si="3">IF(OR(G112="NA",G112="**"),"NA",IF(G112&lt;C112,"Not Met","Met"))</f>
        <v>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0.33329999999999999</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0.4</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0.1333</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t="str">
        <f>VLOOKUP(A3,Data!A1:CM89,71,FALSE)</f>
        <v>NA</v>
      </c>
      <c r="H124" s="83" t="s">
        <v>1</v>
      </c>
      <c r="I124" s="86" t="str">
        <f>IF(OR(G124="NA",G124="**"),"NA",IF(G124&gt;C124,"Not Met","Met"))</f>
        <v>NA</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0.2</v>
      </c>
      <c r="H127" s="83" t="s">
        <v>1</v>
      </c>
      <c r="I127" s="86" t="str">
        <f>IF(OR(G127="NA",G127="**"),"NA",IF(G127&gt;C127,"Not Met","Met"))</f>
        <v>Not 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0</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t="str">
        <f>VLOOKUP(A3,Data!A1:CM89,74,FALSE)</f>
        <v>NA</v>
      </c>
      <c r="H133" s="83" t="s">
        <v>1</v>
      </c>
      <c r="I133" s="86" t="str">
        <f>IF(OR(G133="NA",G133="**"),"NA",IF(G133&gt;C133,"Not Met","Met"))</f>
        <v>NA</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0.78129999999999999</v>
      </c>
      <c r="H138" s="83" t="s">
        <v>1</v>
      </c>
      <c r="I138" s="86" t="str">
        <f t="shared" si="3"/>
        <v>Not 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0.56759999999999999</v>
      </c>
      <c r="H142" s="83" t="s">
        <v>1</v>
      </c>
      <c r="I142" s="86" t="str">
        <f t="shared" si="3"/>
        <v>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0.75</v>
      </c>
      <c r="H146" s="83" t="s">
        <v>1</v>
      </c>
      <c r="I146" s="86" t="str">
        <f t="shared" si="3"/>
        <v>Not 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0.48649999999999999</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0.80649999999999999</v>
      </c>
      <c r="H154" s="83" t="s">
        <v>1</v>
      </c>
      <c r="I154" s="86" t="str">
        <f t="shared" si="3"/>
        <v>Not 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0.64859999999999995</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0.93620000000000003</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0.92520000000000002</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0.2</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0.12770000000000001</v>
      </c>
      <c r="H189" s="83" t="s">
        <v>1</v>
      </c>
      <c r="I189" s="86" t="str">
        <f t="shared" ref="I189" si="6">IF(OR(G189="NA",G189="**"),"NA",IF(G189&lt;C189,"Not Met","Met"))</f>
        <v>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0.23400000000000001</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0.8085</v>
      </c>
      <c r="H197" s="83" t="s">
        <v>1</v>
      </c>
      <c r="I197" s="86" t="str">
        <f t="shared" ref="I197" si="7">IF(OR(G197="NA",G197="**"),"NA",IF(G197&lt;C197,"Not Met","Met"))</f>
        <v>Not 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Newberry</v>
      </c>
      <c r="B3" s="45"/>
      <c r="C3" s="45"/>
      <c r="D3" s="45"/>
      <c r="E3" s="45"/>
      <c r="F3" s="45"/>
      <c r="G3" s="45"/>
      <c r="H3" s="13"/>
      <c r="I3" s="13"/>
      <c r="J3" s="13"/>
    </row>
    <row r="4" spans="1:10" x14ac:dyDescent="0.2">
      <c r="A4" s="16" t="str">
        <f>VLOOKUP(A3,Data!A1:CM89,2,FALSE)</f>
        <v>P. O. Box 718</v>
      </c>
      <c r="B4" s="16"/>
      <c r="C4" s="16"/>
      <c r="D4" s="16"/>
      <c r="E4" s="16"/>
      <c r="F4" s="11"/>
      <c r="G4" s="11"/>
    </row>
    <row r="5" spans="1:10" x14ac:dyDescent="0.2">
      <c r="A5" s="16" t="str">
        <f>VLOOKUP(A3,Data!A1:CM89,3,FALSE)</f>
        <v>Newberry</v>
      </c>
      <c r="B5" s="16"/>
      <c r="C5" s="15" t="str">
        <f>VLOOKUP(A3,Data!A1:CM89,4,FALSE)</f>
        <v>SC</v>
      </c>
      <c r="D5" s="15">
        <f>VLOOKUP(A3,Data!A1:CM89,5,FALSE)</f>
        <v>29108</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3</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100% compliant based on initial Indicator 13 submission</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1</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Two areas that were not corrected within a year or one area not corrected within two years</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19</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1</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but improved since last year</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v>
      </c>
      <c r="D32" s="33"/>
      <c r="E32" s="29"/>
      <c r="F32" s="29"/>
      <c r="G32" s="29"/>
      <c r="H32" s="29"/>
      <c r="I32" s="29"/>
      <c r="J32" s="29"/>
    </row>
    <row r="33" spans="1:10" ht="11.25" customHeight="1" x14ac:dyDescent="0.2">
      <c r="A33" s="24"/>
      <c r="B33" s="52" t="s">
        <v>323</v>
      </c>
      <c r="C33" s="70">
        <f>VLOOKUP(A3,Data!A1:CM89,15,FALSE)</f>
        <v>0.125</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0.1346</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0.17269999999999999</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0</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and did not improve</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0.1406</v>
      </c>
      <c r="D56" s="33"/>
      <c r="E56" s="29"/>
      <c r="F56" s="29"/>
      <c r="G56" s="29"/>
      <c r="H56" s="29"/>
      <c r="I56" s="29"/>
      <c r="J56" s="29"/>
    </row>
    <row r="57" spans="1:10" ht="11.25" customHeight="1" x14ac:dyDescent="0.2">
      <c r="A57" s="24"/>
      <c r="B57" s="52" t="s">
        <v>323</v>
      </c>
      <c r="C57" s="70">
        <f>VLOOKUP(A3,Data!A1:CM89,24,FALSE)</f>
        <v>0.16489999999999999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0.1014</v>
      </c>
      <c r="D64" s="33"/>
      <c r="E64" s="29"/>
      <c r="F64" s="29"/>
      <c r="G64" s="29"/>
      <c r="H64" s="29"/>
      <c r="I64" s="29"/>
      <c r="J64" s="29"/>
    </row>
    <row r="65" spans="1:10" ht="11.25" customHeight="1" x14ac:dyDescent="0.2">
      <c r="A65" s="24"/>
      <c r="B65" s="52" t="s">
        <v>323</v>
      </c>
      <c r="C65" s="70">
        <f>VLOOKUP(A3,Data!A1:CM89,27,FALSE)</f>
        <v>0.19350000000000001</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0.13009999999999999</v>
      </c>
      <c r="D72" s="33"/>
      <c r="E72" s="29"/>
      <c r="F72" s="29"/>
      <c r="G72" s="29"/>
      <c r="H72" s="29"/>
      <c r="I72" s="29"/>
      <c r="J72" s="29"/>
    </row>
    <row r="73" spans="1:10" ht="11.25" customHeight="1" x14ac:dyDescent="0.2">
      <c r="A73" s="24"/>
      <c r="B73" s="52" t="s">
        <v>323</v>
      </c>
      <c r="C73" s="70">
        <f>VLOOKUP(A3,Data!A1:CM89,30,FALSE)</f>
        <v>8.6900000000000005E-2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1</v>
      </c>
      <c r="C76" s="26" t="str">
        <f>IF(B76=0,"Does not meet prior year’s state performance and did not improve",
IF(B76=1,"Does not meet prior year’s state performance but improved since last year",
IF(B76=2,"Meets or exceeds prior year’s state performance",
IF(B76=3,"Meets or exceeds current state target",""))))</f>
        <v>Does not meet prior year’s state performance but improved since last year</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0.14299999999999999</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14</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19</v>
      </c>
      <c r="B87" s="51">
        <f>B83</f>
        <v>14</v>
      </c>
      <c r="C87" s="51">
        <f>SUM(A87:B87)</f>
        <v>33</v>
      </c>
      <c r="D87" s="80">
        <f>VLOOKUP(A3,Data!A1:CM89,91,FALSE)</f>
        <v>42</v>
      </c>
      <c r="E87" s="51">
        <f>VLOOKUP(A3,Data!A1:CM89,34,FALSE)</f>
        <v>2</v>
      </c>
      <c r="F87" s="42">
        <f>SUM(A87,B87,E87)/D87</f>
        <v>0.83333333333333337</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2022-12-06T17:55:46Z</dcterms:modified>
</cp:coreProperties>
</file>