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RmFcoz7G5bPil4hsWzSmXgKN2E5RKNXRji+3nZMLXH1cKavBmVO1/RT1iqkjD37669d4aDOVORbyulLZGGHAmw==" workbookSaltValue="csI1wW9zIa6bCKhrDZOMzA=="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<sst xmlns="http://schemas.openxmlformats.org/spreadsheetml/2006/main" count="2178" uniqueCount="508">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</sst>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2.5600000000000001E-2</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0.1429</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0.66669999999999996</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0.52500000000000002</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0.71430000000000005</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5.1299999999999998E-2</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6.25E-2</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0.80259999999999998</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0.58009999999999995</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0.87760000000000005</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0.52490000000000003</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0.85499999999999998</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0.7429</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0.22500000000000001</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0.66300000000000003</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0.85140000000000005</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0.99529999999999996</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0.97330000000000005</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0.9375</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0.98</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0.85</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0.12379999999999999</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5.67E-2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0.49349999999999999</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0.12870000000000001</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6.3799999999999996E-2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0.1792</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0.5</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0.6</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0.76919999999999999</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0.5</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0.5</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0.69230000000000003</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0.28399999999999997</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0.37619999999999998</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0.36120000000000002</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0.26479999999999998</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0.3427</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0.3659</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0.55579999999999996</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0.2198</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0.92769999999999997</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0.05</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0.15</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0.95</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0.26469999999999999</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0.5</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1.6899999999999998E-2</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0.99529999999999996</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9.6199999999999994E-2</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0.5</c:v>
                </c:pt>
                <c:pt idx="3">
                  <c:v>0.52880000000000005</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0.10199999999999999</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0.20630000000000001</c:v>
                </c:pt>
                <c:pt idx="3">
                  <c:v>0.2198</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0.44090000000000001</c:v>
                </c:pt>
                <c:pt idx="3">
                  <c:v>0.57940000000000003</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9.98E-2</c:v>
                </c:pt>
                <c:pt idx="3">
                  <c:v>9.2399999999999996E-2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0.316</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83</v>
      </c>
      <c r="B3" s="45"/>
      <c r="C3" s="45"/>
      <c r="D3" s="45"/>
      <c r="E3" s="45"/>
      <c r="F3" s="45"/>
      <c r="G3" s="45"/>
      <c r="H3" s="45"/>
      <c r="I3" s="45"/>
      <c r="J3" s="45"/>
      <c r="K3" s="45"/>
      <c r="L3" s="45"/>
      <c r="M3" s="45"/>
      <c r="N3" s="45"/>
      <c r="O3" s="13"/>
      <c r="T3" s="59"/>
      <c r="U3" s="59"/>
    </row>
    <row r="4" spans="1:21" s="12" customFormat="1" ht="11.25" x14ac:dyDescent="0.2">
      <c r="A4" s="16" t="str">
        <f>+VLOOKUP(A3,Data!A1:CM89,2,FALSE)</f>
        <v>414 South Pine Street</v>
      </c>
      <c r="B4" s="16"/>
      <c r="C4" s="15"/>
      <c r="D4" s="16"/>
      <c r="E4" s="15"/>
      <c r="F4" s="15"/>
      <c r="G4" s="16"/>
      <c r="H4" s="16"/>
      <c r="I4" s="16"/>
      <c r="J4" s="16"/>
      <c r="K4" s="11"/>
      <c r="L4" s="11"/>
      <c r="T4" s="11"/>
      <c r="U4" s="11"/>
    </row>
    <row r="5" spans="1:21" s="12" customFormat="1" ht="11.25" x14ac:dyDescent="0.2">
      <c r="A5" s="16" t="str">
        <f>+VLOOKUP(A3,Data!A1:CM89,3,FALSE)</f>
        <v>Walhalla</v>
      </c>
      <c r="B5" s="16"/>
      <c r="C5" s="15"/>
      <c r="D5" s="16"/>
      <c r="E5" s="15"/>
      <c r="F5" s="15"/>
      <c r="G5" s="15" t="str">
        <f>+VLOOKUP(A3,Data!A1:CM89,4,FALSE)</f>
        <v>SC</v>
      </c>
      <c r="H5" s="15"/>
      <c r="I5" s="15">
        <f>+VLOOKUP(A3,Data!A1:CM89,5,FALSE)</f>
        <v>29691</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0.5</v>
      </c>
      <c r="H11" s="83" t="s">
        <v>1</v>
      </c>
      <c r="I11" s="86" t="str">
        <f t="shared" ref="I11" si="0">IF(OR(G11="NA",G11="**"),"NA",IF(G11&lt;C11,"Not Met","Met"))</f>
        <v>Not 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0.26469999999999999</v>
      </c>
      <c r="H15" s="83" t="s">
        <v>1</v>
      </c>
      <c r="I15" s="86" t="str">
        <f>IF(OR(G15="NA",G15="**"),"NA",IF(G15&gt;C15,"Not Met","Met"))</f>
        <v>Not 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0.99529999999999996</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0.97330000000000005</v>
      </c>
      <c r="H22" s="83" t="s">
        <v>1</v>
      </c>
      <c r="I22" s="86" t="str">
        <f>IF(OR(G22="NA",G22="**"),"NA",IF(G22&lt;C22,"Not Met","Met"))</f>
        <v>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0.9375</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0.99529999999999996</v>
      </c>
      <c r="H28" s="83" t="s">
        <v>1</v>
      </c>
      <c r="I28" s="86" t="str">
        <f>IF(OR(G28="NA",G28="**"),"NA",IF(G28&lt;C28,"Not Met","Met"))</f>
        <v>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0.98</v>
      </c>
      <c r="H31" s="83" t="s">
        <v>1</v>
      </c>
      <c r="I31" s="86" t="str">
        <f>IF(OR(G31="NA",G31="**"),"NA",IF(G31&lt;C31,"Not Met","Met"))</f>
        <v>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0.85</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0.12379999999999999</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5.67E-2</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0.49349999999999999</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0.12870000000000001</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6.3799999999999996E-2</v>
      </c>
      <c r="H49" s="83" t="s">
        <v>1</v>
      </c>
      <c r="I49" s="86" t="str">
        <f>IF(OR(G49="NA",G49="**"),"NA",IF(G49&lt;C49,"Not Met","Met"))</f>
        <v>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0.1792</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0.5</v>
      </c>
      <c r="H55" s="83" t="s">
        <v>1</v>
      </c>
      <c r="I55" s="86" t="str">
        <f>IF(OR(G55="NA",G55="**"),"NA",IF(G55&lt;C55,"Not Met","Met"))</f>
        <v>Not 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0.6</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0.76919999999999999</v>
      </c>
      <c r="H61" s="83" t="s">
        <v>1</v>
      </c>
      <c r="I61" s="86" t="str">
        <f>IF(OR(G61="NA",G61="**"),"NA",IF(G61&lt;C61,"Not Met","Met"))</f>
        <v>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0.5</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0.5</v>
      </c>
      <c r="H67" s="83" t="s">
        <v>1</v>
      </c>
      <c r="I67" s="86" t="str">
        <f>IF(OR(G67="NA",G67="**"),"NA",IF(G67&lt;C67,"Not Met","Met"))</f>
        <v>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0.69230000000000003</v>
      </c>
      <c r="H70" s="83" t="s">
        <v>1</v>
      </c>
      <c r="I70" s="86" t="str">
        <f>IF(OR(G70="NA",G70="**"),"NA",IF(G70&lt;C70,"Not Met","Met"))</f>
        <v>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0.28399999999999997</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0.37619999999999998</v>
      </c>
      <c r="H76" s="83" t="s">
        <v>1</v>
      </c>
      <c r="I76" s="86" t="str">
        <f>IF(OR(G76="NA",G76="**"),"NA",IF(G76&gt;C76,"Not Met","Met"))</f>
        <v>Not 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0.36120000000000002</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0.26479999999999998</v>
      </c>
      <c r="H82" s="83" t="s">
        <v>1</v>
      </c>
      <c r="I82" s="86" t="str">
        <f>IF(OR(G82="NA",G82="**"),"NA",IF(G82&gt;C82,"Not Met","Met"))</f>
        <v>Not 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0.3427</v>
      </c>
      <c r="H85" s="83" t="s">
        <v>1</v>
      </c>
      <c r="I85" s="86" t="str">
        <f>IF(OR(G85="NA",G85="**"),"NA",IF(G85&gt;C85,"Not Met","Met"))</f>
        <v>Not 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0.3659</v>
      </c>
      <c r="H88" s="83" t="s">
        <v>1</v>
      </c>
      <c r="I88" s="86" t="str">
        <f>IF(OR(G88="NA",G88="**"),"NA",IF(G88&gt;C88,"Not Met","Met"))</f>
        <v>Not 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Yes</v>
      </c>
      <c r="H95" s="83" t="s">
        <v>1</v>
      </c>
      <c r="I95" s="86" t="str">
        <f>IF(OR(G95="NA",G95="**"),"NA",IF(G95="No","Met",IF(G95="Yes","Not Met")))</f>
        <v>Not 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0.55579999999999996</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0.2198</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1.6899999999999998E-2</v>
      </c>
      <c r="H105" s="83" t="s">
        <v>1</v>
      </c>
      <c r="I105" s="86" t="str">
        <f>IF(OR(G105="NA",G105="**"),"NA",IF(G105&gt;C105,"Not Met","Met"))</f>
        <v>Not 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2.5600000000000001E-2</v>
      </c>
      <c r="H109" s="83" t="s">
        <v>1</v>
      </c>
      <c r="I109" s="86" t="str">
        <f>IF(OR(G109="NA",G109="**"),"NA",IF(G109&lt;C109,"Not Met","Met"))</f>
        <v>Not 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0.22500000000000001</v>
      </c>
      <c r="H112" s="83" t="s">
        <v>1</v>
      </c>
      <c r="I112" s="86" t="str">
        <f t="shared" ref="I112:I180" si="3">IF(OR(G112="NA",G112="**"),"NA",IF(G112&lt;C112,"Not Met","Met"))</f>
        <v>Not 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0.1429</v>
      </c>
      <c r="H115" s="83" t="s">
        <v>1</v>
      </c>
      <c r="I115" s="86" t="str">
        <f t="shared" si="3"/>
        <v>Not 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0.66669999999999996</v>
      </c>
      <c r="H118" s="83" t="s">
        <v>1</v>
      </c>
      <c r="I118" s="86" t="str">
        <f>IF(OR(G118="NA",G118="**"),"NA",IF(G118&gt;C118,"Not Met","Met"))</f>
        <v>Not 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0.52500000000000002</v>
      </c>
      <c r="H121" s="83" t="s">
        <v>1</v>
      </c>
      <c r="I121" s="86" t="str">
        <f>IF(OR(G121="NA",G121="**"),"NA",IF(G121&gt;C121,"Not Met","Met"))</f>
        <v>Not 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0.71430000000000005</v>
      </c>
      <c r="H124" s="83" t="s">
        <v>1</v>
      </c>
      <c r="I124" s="86" t="str">
        <f>IF(OR(G124="NA",G124="**"),"NA",IF(G124&gt;C124,"Not Met","Met"))</f>
        <v>Not 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5.1299999999999998E-2</v>
      </c>
      <c r="H127" s="83" t="s">
        <v>1</v>
      </c>
      <c r="I127" s="86" t="str">
        <f>IF(OR(G127="NA",G127="**"),"NA",IF(G127&gt;C127,"Not Met","Met"))</f>
        <v>Not 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6.25E-2</v>
      </c>
      <c r="H130" s="83" t="s">
        <v>1</v>
      </c>
      <c r="I130" s="86" t="str">
        <f>IF(OR(G130="NA",G130="**"),"NA",IF(G130&gt;C130,"Not Met","Met"))</f>
        <v>Not 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0.80259999999999998</v>
      </c>
      <c r="H138" s="83" t="s">
        <v>1</v>
      </c>
      <c r="I138" s="86" t="str">
        <f t="shared" si="3"/>
        <v>Not 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0.58009999999999995</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0.87760000000000005</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0.52490000000000003</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0.85499999999999998</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0.66300000000000003</v>
      </c>
      <c r="H158" s="83" t="s">
        <v>1</v>
      </c>
      <c r="I158" s="86" t="str">
        <f t="shared" si="3"/>
        <v>Not 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0.85140000000000005</v>
      </c>
      <c r="H162" s="83" t="s">
        <v>1</v>
      </c>
      <c r="I162" s="86" t="str">
        <f t="shared" ref="I162" si="4">IF(OR(G162="NA",G162="**"),"NA",IF(G162&lt;C162,"Not Met","Met"))</f>
        <v>Not 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0.92769999999999997</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0.7429</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0.05</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0.15</v>
      </c>
      <c r="H193" s="83" t="s">
        <v>1</v>
      </c>
      <c r="I193" s="86" t="str">
        <f>IF(OR(G193="NA",G193="**"),"NA",IF(G193&lt;C193,"Not Met","Met"))</f>
        <v>Not 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0.95</v>
      </c>
      <c r="H197" s="83" t="s">
        <v>1</v>
      </c>
      <c r="I197" s="86" t="str">
        <f t="shared" ref="I197" si="7">IF(OR(G197="NA",G197="**"),"NA",IF(G197&lt;C197,"Not Met","Met"))</f>
        <v>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Oconee</v>
      </c>
      <c r="B3" s="45"/>
      <c r="C3" s="45"/>
      <c r="D3" s="45"/>
      <c r="E3" s="45"/>
      <c r="F3" s="45"/>
      <c r="G3" s="45"/>
      <c r="H3" s="13"/>
      <c r="I3" s="13"/>
      <c r="J3" s="13"/>
    </row>
    <row r="4" spans="1:10" x14ac:dyDescent="0.2">
      <c r="A4" s="16" t="str">
        <f>VLOOKUP(A3,Data!A1:CM89,2,FALSE)</f>
        <v>414 South Pine Street</v>
      </c>
      <c r="B4" s="16"/>
      <c r="C4" s="16"/>
      <c r="D4" s="16"/>
      <c r="E4" s="16"/>
      <c r="F4" s="11"/>
      <c r="G4" s="11"/>
    </row>
    <row r="5" spans="1:10" x14ac:dyDescent="0.2">
      <c r="A5" s="16" t="str">
        <f>VLOOKUP(A3,Data!A1:CM89,3,FALSE)</f>
        <v>Walhalla</v>
      </c>
      <c r="B5" s="16"/>
      <c r="C5" s="15" t="str">
        <f>VLOOKUP(A3,Data!A1:CM89,4,FALSE)</f>
        <v>SC</v>
      </c>
      <c r="D5" s="15">
        <f>VLOOKUP(A3,Data!A1:CM89,5,FALSE)</f>
        <v>29691</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2</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All Indicator 13 corrections made and verified within designated review timeframe</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2</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 xml:space="preserve">95% or above combined compliance rate for Indicators 11 and 12 </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19</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1</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but improved since last year</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0.5</v>
      </c>
      <c r="D32" s="33"/>
      <c r="E32" s="29"/>
      <c r="F32" s="29"/>
      <c r="G32" s="29"/>
      <c r="H32" s="29"/>
      <c r="I32" s="29"/>
      <c r="J32" s="29"/>
    </row>
    <row r="33" spans="1:10" ht="11.25" customHeight="1" x14ac:dyDescent="0.2">
      <c r="A33" s="24"/>
      <c r="B33" s="52" t="s">
        <v>323</v>
      </c>
      <c r="C33" s="70">
        <f>VLOOKUP(A3,Data!A1:CM89,15,FALSE)</f>
        <v>0.52880000000000005</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9.6199999999999994E-2</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1</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but improved since last year</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0.10199999999999999</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0</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and did not improve</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0.20630000000000001</v>
      </c>
      <c r="D56" s="33"/>
      <c r="E56" s="29"/>
      <c r="F56" s="29"/>
      <c r="G56" s="29"/>
      <c r="H56" s="29"/>
      <c r="I56" s="29"/>
      <c r="J56" s="29"/>
    </row>
    <row r="57" spans="1:10" ht="11.25" customHeight="1" x14ac:dyDescent="0.2">
      <c r="A57" s="24"/>
      <c r="B57" s="52" t="s">
        <v>323</v>
      </c>
      <c r="C57" s="70">
        <f>VLOOKUP(A3,Data!A1:CM89,24,FALSE)</f>
        <v>0.2198</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0.44090000000000001</v>
      </c>
      <c r="D64" s="33"/>
      <c r="E64" s="29"/>
      <c r="F64" s="29"/>
      <c r="G64" s="29"/>
      <c r="H64" s="29"/>
      <c r="I64" s="29"/>
      <c r="J64" s="29"/>
    </row>
    <row r="65" spans="1:10" ht="11.25" customHeight="1" x14ac:dyDescent="0.2">
      <c r="A65" s="24"/>
      <c r="B65" s="52" t="s">
        <v>323</v>
      </c>
      <c r="C65" s="70">
        <f>VLOOKUP(A3,Data!A1:CM89,27,FALSE)</f>
        <v>0.57940000000000003</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1</v>
      </c>
      <c r="C68" s="26" t="str">
        <f>IF(B68=0,"Does not meet prior year’s state performance and did not improve",
IF(B68=1,"Does not meet prior year’s state performance but improved since last year",
IF(B68=2,"Meets or exceeds prior year’s state performance",
IF(B68=3,"Meets or exceeds current state target",""))))</f>
        <v>Does not meet prior year’s state performance but improved since last year</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9.98E-2</v>
      </c>
      <c r="D72" s="33"/>
      <c r="E72" s="29"/>
      <c r="F72" s="29"/>
      <c r="G72" s="29"/>
      <c r="H72" s="29"/>
      <c r="I72" s="29"/>
      <c r="J72" s="29"/>
    </row>
    <row r="73" spans="1:10" ht="11.25" customHeight="1" x14ac:dyDescent="0.2">
      <c r="A73" s="24"/>
      <c r="B73" s="52" t="s">
        <v>323</v>
      </c>
      <c r="C73" s="70">
        <f>VLOOKUP(A3,Data!A1:CM89,30,FALSE)</f>
        <v>9.2399999999999996E-2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3</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current state target</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0.316</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7</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19</v>
      </c>
      <c r="B87" s="51">
        <f>B83</f>
        <v>7</v>
      </c>
      <c r="C87" s="51">
        <f>SUM(A87:B87)</f>
        <v>26</v>
      </c>
      <c r="D87" s="80">
        <f>VLOOKUP(A3,Data!A1:CM89,91,FALSE)</f>
        <v>42</v>
      </c>
      <c r="E87" s="51">
        <f>VLOOKUP(A3,Data!A1:CM89,34,FALSE)</f>
        <v>2</v>
      </c>
      <c r="F87" s="42">
        <f>SUM(A87,B87,E87)/D87</f>
        <v>0.66666666666666663</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2022-12-06T17:55:47Z</dcterms:modified>
</cp:coreProperties>
</file>