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E1e/Ko9J2CsjzkFT/g+RmPh38XOL/Zzr//MW5HDeQft+Oi2ameKRgST0YFrfsyDhB9qsNrCKn88ScsBQ8MhZhQ==" workbookSaltValue="zy/GJtN/qzHsyy0NIbKM9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<sst xmlns="http://schemas.openxmlformats.org/spreadsheetml/2006/main" count="2178" uniqueCount="508">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</sst>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0.64290000000000003</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0.96299999999999997</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0.46150000000000002</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0.1111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0.71430000000000005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0.89190000000000003</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0.80489999999999995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3.0300000000000001E-2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6.4500000000000002E-2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0.39129999999999998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0.2424</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0.33329999999999999</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1</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0.35199999999999998</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0.31390000000000001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0.23810000000000001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0.3458</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0.26490000000000002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0.1111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0.20580000000000001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0.69820000000000004</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0.14699999999999999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0.74629999999999996</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0.1154</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0.26919999999999999</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0.96150000000000002</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0.34620000000000001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0.53849999999999998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7.9000000000000008E-3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4.6899999999999997E-2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0.53849999999999998</c:v>
                </c:pt>
                <c:pt idx="3">
                  <c:v>0.46429999999999999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0.125</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0.14169999999999999</c:v>
                </c:pt>
                <c:pt idx="3">
                  <c:v>0.14699999999999999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0.17499999999999999</c:v>
                </c:pt>
                <c:pt idx="3">
                  <c:v>0.15379999999999999</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0.157</c:v>
                </c:pt>
                <c:pt idx="3">
                  <c:v>0.10150000000000001</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0.28100000000000003</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0.92310000000000003</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89</v>
      </c>
      <c r="B3" s="45"/>
      <c r="C3" s="45"/>
      <c r="D3" s="45"/>
      <c r="E3" s="45"/>
      <c r="F3" s="45"/>
      <c r="G3" s="45"/>
      <c r="H3" s="45"/>
      <c r="I3" s="45"/>
      <c r="J3" s="45"/>
      <c r="K3" s="45"/>
      <c r="L3" s="45"/>
      <c r="M3" s="45"/>
      <c r="N3" s="45"/>
      <c r="O3" s="13"/>
      <c r="T3" s="59"/>
      <c r="U3" s="59"/>
    </row>
    <row r="4" spans="1:21" s="12" customFormat="1" ht="11.25" x14ac:dyDescent="0.2">
      <c r="A4" s="16" t="str">
        <f>+VLOOKUP(A3,Data!A1:CM89,2,FALSE)</f>
        <v>404 N. Wise Rd.</v>
      </c>
      <c r="B4" s="16"/>
      <c r="C4" s="15"/>
      <c r="D4" s="16"/>
      <c r="E4" s="15"/>
      <c r="F4" s="15"/>
      <c r="G4" s="16"/>
      <c r="H4" s="16"/>
      <c r="I4" s="16"/>
      <c r="J4" s="16"/>
      <c r="K4" s="11"/>
      <c r="L4" s="11"/>
      <c r="T4" s="11"/>
      <c r="U4" s="11"/>
    </row>
    <row r="5" spans="1:21" s="12" customFormat="1" ht="11.25" x14ac:dyDescent="0.2">
      <c r="A5" s="16" t="str">
        <f>+VLOOKUP(A3,Data!A1:CM89,3,FALSE)</f>
        <v>Saluda</v>
      </c>
      <c r="B5" s="16"/>
      <c r="C5" s="15"/>
      <c r="D5" s="16"/>
      <c r="E5" s="15"/>
      <c r="F5" s="15"/>
      <c r="G5" s="15" t="str">
        <f>+VLOOKUP(A3,Data!A1:CM89,4,FALSE)</f>
        <v>SC</v>
      </c>
      <c r="H5" s="15"/>
      <c r="I5" s="15">
        <f>+VLOOKUP(A3,Data!A1:CM89,5,FALSE)</f>
        <v>29138</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0.53849999999999998</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0.34620000000000001</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1</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1</v>
      </c>
      <c r="H22" s="83" t="s">
        <v>1</v>
      </c>
      <c r="I22" s="86" t="str">
        <f>IF(OR(G22="NA",G22="**"),"NA",IF(G22&lt;C22,"Not Met","Met"))</f>
        <v>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1</v>
      </c>
      <c r="H25" s="83" t="s">
        <v>1</v>
      </c>
      <c r="I25" s="86" t="str">
        <f>IF(OR(G25="NA",G25="**"),"NA",IF(G25&lt;C25,"Not Met","Met"))</f>
        <v>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1</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1</v>
      </c>
      <c r="H31" s="83" t="s">
        <v>1</v>
      </c>
      <c r="I31" s="86" t="str">
        <f>IF(OR(G31="NA",G31="**"),"NA",IF(G31&lt;C31,"Not Met","Met"))</f>
        <v>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0.80489999999999995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3.0300000000000001E-2</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6.4500000000000002E-2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0.39129999999999998</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0.2424</v>
      </c>
      <c r="H46" s="83" t="s">
        <v>1</v>
      </c>
      <c r="I46" s="86" t="str">
        <f>IF(OR(G46="NA",G46="**"),"NA",IF(G46&lt;C46,"Not Met","Met"))</f>
        <v>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t="str">
        <f>VLOOKUP(A3,Data!A1:CM89,49,FALSE)</f>
        <v>NA</v>
      </c>
      <c r="H55" s="83" t="s">
        <v>1</v>
      </c>
      <c r="I55" s="86" t="str">
        <f>IF(OR(G55="NA",G55="**"),"NA",IF(G55&lt;C55,"Not Met","Met"))</f>
        <v>NA</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1</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t="str">
        <f>VLOOKUP(A3,Data!A1:CM89,52,FALSE)</f>
        <v>NA</v>
      </c>
      <c r="H64" s="83" t="s">
        <v>1</v>
      </c>
      <c r="I64" s="86" t="str">
        <f>IF(OR(G64="NA",G64="**"),"NA",IF(G64&lt;C64,"Not Met","Met"))</f>
        <v>NA</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1</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0.35199999999999998</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0.31390000000000001</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0.23810000000000001</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0.3458</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0.26490000000000002</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0.20580000000000001</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0.69820000000000004</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0.14699999999999999</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7.9000000000000008E-3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0.1111</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0.33329999999999999</v>
      </c>
      <c r="H118" s="83" t="s">
        <v>1</v>
      </c>
      <c r="I118" s="86" t="str">
        <f>IF(OR(G118="NA",G118="**"),"NA",IF(G118&gt;C118,"Not Met","Met"))</f>
        <v>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0.1111</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0.92310000000000003</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0.64290000000000003</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0.96</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0.96299999999999997</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0.71430000000000005</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0.89190000000000003</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Yes</v>
      </c>
      <c r="H171" s="83" t="s">
        <v>1</v>
      </c>
      <c r="I171" s="86" t="str">
        <f>IF(OR(G171="NA",G171="**"),"NA",IF(G171="No","Met",IF(G171="Yes","Not Met")))</f>
        <v>Not 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0.74629999999999996</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0.46150000000000002</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0.1154</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0.26919999999999999</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0.96150000000000002</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Saluda</v>
      </c>
      <c r="B3" s="45"/>
      <c r="C3" s="45"/>
      <c r="D3" s="45"/>
      <c r="E3" s="45"/>
      <c r="F3" s="45"/>
      <c r="G3" s="45"/>
      <c r="H3" s="13"/>
      <c r="I3" s="13"/>
      <c r="J3" s="13"/>
    </row>
    <row r="4" spans="1:10" x14ac:dyDescent="0.2">
      <c r="A4" s="16" t="str">
        <f>VLOOKUP(A3,Data!A1:CM89,2,FALSE)</f>
        <v>404 N. Wise Rd.</v>
      </c>
      <c r="B4" s="16"/>
      <c r="C4" s="16"/>
      <c r="D4" s="16"/>
      <c r="E4" s="16"/>
      <c r="F4" s="11"/>
      <c r="G4" s="11"/>
    </row>
    <row r="5" spans="1:10" x14ac:dyDescent="0.2">
      <c r="A5" s="16" t="str">
        <f>VLOOKUP(A3,Data!A1:CM89,3,FALSE)</f>
        <v>Saluda</v>
      </c>
      <c r="B5" s="16"/>
      <c r="C5" s="15" t="str">
        <f>VLOOKUP(A3,Data!A1:CM89,4,FALSE)</f>
        <v>SC</v>
      </c>
      <c r="D5" s="15">
        <f>VLOOKUP(A3,Data!A1:CM89,5,FALSE)</f>
        <v>29138</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0.53849999999999998</v>
      </c>
      <c r="D32" s="33"/>
      <c r="E32" s="29"/>
      <c r="F32" s="29"/>
      <c r="G32" s="29"/>
      <c r="H32" s="29"/>
      <c r="I32" s="29"/>
      <c r="J32" s="29"/>
    </row>
    <row r="33" spans="1:10" ht="11.25" customHeight="1" x14ac:dyDescent="0.2">
      <c r="A33" s="24"/>
      <c r="B33" s="52" t="s">
        <v>323</v>
      </c>
      <c r="C33" s="70">
        <f>VLOOKUP(A3,Data!A1:CM89,15,FALSE)</f>
        <v>0.46429999999999999</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4.6899999999999997E-2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3</v>
      </c>
      <c r="C44" s="26" t="str">
        <f>IF(B44=0,"Does not meet prior year’s state performance and did not improve",
IF(B44=1,"Does not meet prior year’s state performance but improved since last year",
IF(B44=2,"Meets or exceeds prior year’s state performance",
IF(B44=3,"Meets or exceeds current state target",""))))</f>
        <v>Meets or exceeds current state target</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0.125</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0.14169999999999999</v>
      </c>
      <c r="D56" s="33"/>
      <c r="E56" s="29"/>
      <c r="F56" s="29"/>
      <c r="G56" s="29"/>
      <c r="H56" s="29"/>
      <c r="I56" s="29"/>
      <c r="J56" s="29"/>
    </row>
    <row r="57" spans="1:10" ht="11.25" customHeight="1" x14ac:dyDescent="0.2">
      <c r="A57" s="24"/>
      <c r="B57" s="52" t="s">
        <v>323</v>
      </c>
      <c r="C57" s="70">
        <f>VLOOKUP(A3,Data!A1:CM89,24,FALSE)</f>
        <v>0.14699999999999999</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0.17499999999999999</v>
      </c>
      <c r="D64" s="33"/>
      <c r="E64" s="29"/>
      <c r="F64" s="29"/>
      <c r="G64" s="29"/>
      <c r="H64" s="29"/>
      <c r="I64" s="29"/>
      <c r="J64" s="29"/>
    </row>
    <row r="65" spans="1:10" ht="11.25" customHeight="1" x14ac:dyDescent="0.2">
      <c r="A65" s="24"/>
      <c r="B65" s="52" t="s">
        <v>323</v>
      </c>
      <c r="C65" s="70">
        <f>VLOOKUP(A3,Data!A1:CM89,27,FALSE)</f>
        <v>0.15379999999999999</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1</v>
      </c>
      <c r="C68" s="26" t="str">
        <f>IF(B68=0,"Does not meet prior year’s state performance and did not improve",
IF(B68=1,"Does not meet prior year’s state performance but improved since last year",
IF(B68=2,"Meets or exceeds prior year’s state performance",
IF(B68=3,"Meets or exceeds current state target",""))))</f>
        <v>Does not meet prior year’s state performance but improved since last year</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0.157</v>
      </c>
      <c r="D72" s="33"/>
      <c r="E72" s="29"/>
      <c r="F72" s="29"/>
      <c r="G72" s="29"/>
      <c r="H72" s="29"/>
      <c r="I72" s="29"/>
      <c r="J72" s="29"/>
    </row>
    <row r="73" spans="1:10" ht="11.25" customHeight="1" x14ac:dyDescent="0.2">
      <c r="A73" s="24"/>
      <c r="B73" s="52" t="s">
        <v>323</v>
      </c>
      <c r="C73" s="70">
        <f>VLOOKUP(A3,Data!A1:CM89,30,FALSE)</f>
        <v>0.10150000000000001</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0.28100000000000003</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14</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14</v>
      </c>
      <c r="C87" s="51">
        <f>SUM(A87:B87)</f>
        <v>35</v>
      </c>
      <c r="D87" s="80">
        <f>VLOOKUP(A3,Data!A1:CM89,91,FALSE)</f>
        <v>42</v>
      </c>
      <c r="E87" s="51">
        <f>VLOOKUP(A3,Data!A1:CM89,34,FALSE)</f>
        <v>2</v>
      </c>
      <c r="F87" s="42">
        <f>SUM(A87,B87,E87)/D87</f>
        <v>0.88095238095238093</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2022-12-06T17:55:53Z</dcterms:modified>
</cp:coreProperties>
</file>