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N3WTttR+osBkCsWMnTHLScECmlJFYEX/ReMVA5AEYLjj3ngVf250j/JbWb1hXntCTf7ztyJV3cM10otW77lTQg==" workbookSaltValue="WgDRl2TPK3vLFe425XSKVw=="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<sst xmlns="http://schemas.openxmlformats.org/spreadsheetml/2006/main" count="2178" uniqueCount="508">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</sst>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c:v>
                </c:pt>
                <c:pt idx="3">
                  <c:v>0</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c:v>
                </c:pt>
                <c:pt idx="3">
                  <c:v>0</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c:v>
                </c:pt>
                <c:pt idx="3">
                  <c:v>0</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500</v>
      </c>
      <c r="B3" s="45"/>
      <c r="C3" s="45"/>
      <c r="D3" s="45"/>
      <c r="E3" s="45"/>
      <c r="F3" s="45"/>
      <c r="G3" s="45"/>
      <c r="H3" s="45"/>
      <c r="I3" s="45"/>
      <c r="J3" s="45"/>
      <c r="K3" s="45"/>
      <c r="L3" s="45"/>
      <c r="M3" s="45"/>
      <c r="N3" s="45"/>
      <c r="O3" s="13"/>
      <c r="T3" s="59"/>
      <c r="U3" s="59"/>
    </row>
    <row r="4" spans="1:21" s="12" customFormat="1" ht="11.25" x14ac:dyDescent="0.2">
      <c r="A4" s="16" t="str">
        <f>+VLOOKUP(A3,Data!A1:CM89,2,FALSE)</f>
        <v>401 Railroad Ave</v>
      </c>
      <c r="B4" s="16"/>
      <c r="C4" s="15"/>
      <c r="D4" s="16"/>
      <c r="E4" s="15"/>
      <c r="F4" s="15"/>
      <c r="G4" s="16"/>
      <c r="H4" s="16"/>
      <c r="I4" s="16"/>
      <c r="J4" s="16"/>
      <c r="K4" s="11"/>
      <c r="L4" s="11"/>
      <c r="T4" s="11"/>
      <c r="U4" s="11"/>
    </row>
    <row r="5" spans="1:21" s="12" customFormat="1" ht="11.25" x14ac:dyDescent="0.2">
      <c r="A5" s="16" t="str">
        <f>+VLOOKUP(A3,Data!A1:CM89,3,FALSE)</f>
        <v>Hartsville</v>
      </c>
      <c r="B5" s="16"/>
      <c r="C5" s="15"/>
      <c r="D5" s="16"/>
      <c r="E5" s="15"/>
      <c r="F5" s="15"/>
      <c r="G5" s="15" t="str">
        <f>+VLOOKUP(A3,Data!A1:CM89,4,FALSE)</f>
        <v>SC</v>
      </c>
      <c r="H5" s="15"/>
      <c r="I5" s="15">
        <f>+VLOOKUP(A3,Data!A1:CM89,5,FALSE)</f>
        <v>29550</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t="str">
        <f>VLOOKUP(A3,Data!A1:CM89,35,FALSE)</f>
        <v>NA</v>
      </c>
      <c r="H11" s="83" t="s">
        <v>1</v>
      </c>
      <c r="I11" s="86" t="str">
        <f t="shared" ref="I11" si="0">IF(OR(G11="NA",G11="**"),"NA",IF(G11&lt;C11,"Not Met","Met"))</f>
        <v>NA</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t="str">
        <f>VLOOKUP(A3,Data!A1:CM89,36,FALSE)</f>
        <v>NA</v>
      </c>
      <c r="H15" s="83" t="s">
        <v>1</v>
      </c>
      <c r="I15" s="86" t="str">
        <f>IF(OR(G15="NA",G15="**"),"NA",IF(G15&gt;C15,"Not Met","Met"))</f>
        <v>NA</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t="str">
        <f>VLOOKUP(A3,Data!A1:CM89,37,FALSE)</f>
        <v>NA</v>
      </c>
      <c r="H19" s="83" t="s">
        <v>1</v>
      </c>
      <c r="I19" s="86" t="str">
        <f>IF(OR(G19="NA",G19="**"),"NA",IF(G19&lt;C19,"Not Met","Met"))</f>
        <v>NA</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t="str">
        <f>VLOOKUP(A3,Data!A1:CM89,38,FALSE)</f>
        <v>NA</v>
      </c>
      <c r="H22" s="83" t="s">
        <v>1</v>
      </c>
      <c r="I22" s="86" t="str">
        <f>IF(OR(G22="NA",G22="**"),"NA",IF(G22&lt;C22,"Not Met","Met"))</f>
        <v>NA</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t="str">
        <f>VLOOKUP(A3,Data!A1:CM89,39,FALSE)</f>
        <v>NA</v>
      </c>
      <c r="H25" s="83" t="s">
        <v>1</v>
      </c>
      <c r="I25" s="86" t="str">
        <f>IF(OR(G25="NA",G25="**"),"NA",IF(G25&lt;C25,"Not Met","Met"))</f>
        <v>NA</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t="str">
        <f>VLOOKUP(A3,Data!A1:CM89,40,FALSE)</f>
        <v>NA</v>
      </c>
      <c r="H28" s="83" t="s">
        <v>1</v>
      </c>
      <c r="I28" s="86" t="str">
        <f>IF(OR(G28="NA",G28="**"),"NA",IF(G28&lt;C28,"Not Met","Met"))</f>
        <v>NA</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t="str">
        <f>VLOOKUP(A3,Data!A1:CM89,41,FALSE)</f>
        <v>NA</v>
      </c>
      <c r="H31" s="83" t="s">
        <v>1</v>
      </c>
      <c r="I31" s="86" t="str">
        <f>IF(OR(G31="NA",G31="**"),"NA",IF(G31&lt;C31,"Not Met","Met"))</f>
        <v>NA</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t="str">
        <f>VLOOKUP(A3,Data!A1:CM89,42,FALSE)</f>
        <v>NA</v>
      </c>
      <c r="H34" s="83" t="s">
        <v>1</v>
      </c>
      <c r="I34" s="86" t="str">
        <f>IF(OR(G34="NA",G34="**"),"NA",IF(G34&lt;C34,"Not Met","Met"))</f>
        <v>NA</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t="str">
        <f>VLOOKUP(A3,Data!A1:CM89,43,FALSE)</f>
        <v>NA</v>
      </c>
      <c r="H37" s="83" t="s">
        <v>1</v>
      </c>
      <c r="I37" s="86" t="str">
        <f>IF(OR(G37="NA",G37="**"),"NA",IF(G37&lt;C37,"Not Met","Met"))</f>
        <v>NA</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t="str">
        <f>VLOOKUP(A3,Data!A1:CM89,44,FALSE)</f>
        <v>NA</v>
      </c>
      <c r="H40" s="83" t="s">
        <v>1</v>
      </c>
      <c r="I40" s="86" t="str">
        <f>IF(OR(G40="NA",G40="**"),"NA",IF(G40&lt;C40,"Not Met","Met"))</f>
        <v>NA</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t="str">
        <f>VLOOKUP(A3,Data!A1:CM89,45,FALSE)</f>
        <v>NA</v>
      </c>
      <c r="H43" s="83" t="s">
        <v>1</v>
      </c>
      <c r="I43" s="86" t="str">
        <f>IF(OR(G43="NA",G43="**"),"NA",IF(G43&lt;C43,"Not Met","Met"))</f>
        <v>NA</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t="str">
        <f>VLOOKUP(A3,Data!A1:CM89,46,FALSE)</f>
        <v>NA</v>
      </c>
      <c r="H46" s="83" t="s">
        <v>1</v>
      </c>
      <c r="I46" s="86" t="str">
        <f>IF(OR(G46="NA",G46="**"),"NA",IF(G46&lt;C46,"Not Met","Met"))</f>
        <v>NA</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t="str">
        <f>VLOOKUP(A3,Data!A1:CM89,47,FALSE)</f>
        <v>NA</v>
      </c>
      <c r="H49" s="83" t="s">
        <v>1</v>
      </c>
      <c r="I49" s="86" t="str">
        <f>IF(OR(G49="NA",G49="**"),"NA",IF(G49&lt;C49,"Not Met","Met"))</f>
        <v>NA</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t="str">
        <f>VLOOKUP(A3,Data!A1:CM89,48,FALSE)</f>
        <v>NA</v>
      </c>
      <c r="H52" s="83" t="s">
        <v>1</v>
      </c>
      <c r="I52" s="86" t="str">
        <f>IF(OR(G52="NA",G52="**"),"NA",IF(G52&lt;C52,"Not Met","Met"))</f>
        <v>NA</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t="str">
        <f>VLOOKUP(A3,Data!A1:CM89,49,FALSE)</f>
        <v>NA</v>
      </c>
      <c r="H55" s="83" t="s">
        <v>1</v>
      </c>
      <c r="I55" s="86" t="str">
        <f>IF(OR(G55="NA",G55="**"),"NA",IF(G55&lt;C55,"Not Met","Met"))</f>
        <v>NA</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t="str">
        <f>VLOOKUP(A3,Data!A1:CM89,50,FALSE)</f>
        <v>NA</v>
      </c>
      <c r="H58" s="83" t="s">
        <v>1</v>
      </c>
      <c r="I58" s="86" t="str">
        <f>IF(OR(G58="NA",G58="**"),"NA",IF(G58&lt;C58,"Not Met","Met"))</f>
        <v>NA</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t="str">
        <f>VLOOKUP(A3,Data!A1:CM89,52,FALSE)</f>
        <v>NA</v>
      </c>
      <c r="H64" s="83" t="s">
        <v>1</v>
      </c>
      <c r="I64" s="86" t="str">
        <f>IF(OR(G64="NA",G64="**"),"NA",IF(G64&lt;C64,"Not Met","Met"))</f>
        <v>NA</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t="str">
        <f>VLOOKUP(A3,Data!A1:CM89,53,FALSE)</f>
        <v>NA</v>
      </c>
      <c r="H67" s="83" t="s">
        <v>1</v>
      </c>
      <c r="I67" s="86" t="str">
        <f>IF(OR(G67="NA",G67="**"),"NA",IF(G67&lt;C67,"Not Met","Met"))</f>
        <v>NA</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t="str">
        <f>VLOOKUP(A3,Data!A1:CM89,54,FALSE)</f>
        <v>NA</v>
      </c>
      <c r="H70" s="83" t="s">
        <v>1</v>
      </c>
      <c r="I70" s="86" t="str">
        <f>IF(OR(G70="NA",G70="**"),"NA",IF(G70&lt;C70,"Not Met","Met"))</f>
        <v>NA</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t="str">
        <f>VLOOKUP(A3,Data!A1:CM89,55,FALSE)</f>
        <v>NA</v>
      </c>
      <c r="H73" s="83" t="s">
        <v>1</v>
      </c>
      <c r="I73" s="86" t="str">
        <f>IF(OR(G73="NA",G73="**"),"NA",IF(G73&gt;C73,"Not Met","Met"))</f>
        <v>NA</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t="str">
        <f>VLOOKUP(A3,Data!A1:CM89,56,FALSE)</f>
        <v>NA</v>
      </c>
      <c r="H76" s="83" t="s">
        <v>1</v>
      </c>
      <c r="I76" s="86" t="str">
        <f>IF(OR(G76="NA",G76="**"),"NA",IF(G76&gt;C76,"Not Met","Met"))</f>
        <v>NA</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t="str">
        <f>VLOOKUP(A3,Data!A1:CM89,57,FALSE)</f>
        <v>NA</v>
      </c>
      <c r="H79" s="83" t="s">
        <v>1</v>
      </c>
      <c r="I79" s="86" t="str">
        <f>IF(OR(G79="NA",G79="**"),"NA",IF(G79&gt;C79,"Not Met","Met"))</f>
        <v>NA</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t="str">
        <f>VLOOKUP(A3,Data!A1:CM89,58,FALSE)</f>
        <v>NA</v>
      </c>
      <c r="H82" s="83" t="s">
        <v>1</v>
      </c>
      <c r="I82" s="86" t="str">
        <f>IF(OR(G82="NA",G82="**"),"NA",IF(G82&gt;C82,"Not Met","Met"))</f>
        <v>NA</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t="str">
        <f>VLOOKUP(A3,Data!A1:CM89,59,FALSE)</f>
        <v>NA</v>
      </c>
      <c r="H85" s="83" t="s">
        <v>1</v>
      </c>
      <c r="I85" s="86" t="str">
        <f>IF(OR(G85="NA",G85="**"),"NA",IF(G85&gt;C85,"Not Met","Met"))</f>
        <v>NA</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t="str">
        <f>VLOOKUP(A3,Data!A1:CM89,60,FALSE)</f>
        <v>NA</v>
      </c>
      <c r="H88" s="83" t="s">
        <v>1</v>
      </c>
      <c r="I88" s="86" t="str">
        <f>IF(OR(G88="NA",G88="**"),"NA",IF(G88&gt;C88,"Not Met","Met"))</f>
        <v>NA</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NA</v>
      </c>
      <c r="H92" s="83" t="s">
        <v>1</v>
      </c>
      <c r="I92" s="86" t="str">
        <f t="shared" ref="I92" si="1">IF(OR(G92="NA",G92="**"),"NA",IF(G92="No","Met",IF(G92="Yes","Not Met")))</f>
        <v>NA</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NA</v>
      </c>
      <c r="H95" s="83" t="s">
        <v>1</v>
      </c>
      <c r="I95" s="86" t="str">
        <f>IF(OR(G95="NA",G95="**"),"NA",IF(G95="No","Met",IF(G95="Yes","Not Met")))</f>
        <v>NA</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1</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t="str">
        <f>VLOOKUP(A3,Data!A1:CM89,64,FALSE)</f>
        <v>NA</v>
      </c>
      <c r="H102" s="83" t="s">
        <v>1</v>
      </c>
      <c r="I102" s="86" t="str">
        <f>IF(OR(G102="NA",G102="**"),"NA",IF(G102&gt;C102,"Not Met","Met"))</f>
        <v>NA</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t="str">
        <f>VLOOKUP(A3,Data!A1:CM89,65,FALSE)</f>
        <v>NA</v>
      </c>
      <c r="H105" s="83" t="s">
        <v>1</v>
      </c>
      <c r="I105" s="86" t="str">
        <f>IF(OR(G105="NA",G105="**"),"NA",IF(G105&gt;C105,"Not Met","Met"))</f>
        <v>NA</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t="str">
        <f>VLOOKUP(A3,Data!A1:CM89,67,FALSE)</f>
        <v>NA</v>
      </c>
      <c r="H112" s="83" t="s">
        <v>1</v>
      </c>
      <c r="I112" s="86" t="str">
        <f t="shared" ref="I112:I180" si="3">IF(OR(G112="NA",G112="**"),"NA",IF(G112&lt;C112,"Not Met","Met"))</f>
        <v>NA</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t="str">
        <f>VLOOKUP(A3,Data!A1:CM89,75,FALSE)</f>
        <v>NA</v>
      </c>
      <c r="H138" s="83" t="s">
        <v>1</v>
      </c>
      <c r="I138" s="86" t="str">
        <f t="shared" si="3"/>
        <v>NA</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t="str">
        <f>VLOOKUP(A3,Data!A1:CM89,76,FALSE)</f>
        <v>NA</v>
      </c>
      <c r="H142" s="83" t="s">
        <v>1</v>
      </c>
      <c r="I142" s="86" t="str">
        <f t="shared" si="3"/>
        <v>NA</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t="str">
        <f>VLOOKUP(A3,Data!A1:CM89,77,FALSE)</f>
        <v>NA</v>
      </c>
      <c r="H146" s="83" t="s">
        <v>1</v>
      </c>
      <c r="I146" s="86" t="str">
        <f t="shared" si="3"/>
        <v>NA</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t="str">
        <f>VLOOKUP(A3,Data!A1:CM89,78,FALSE)</f>
        <v>NA</v>
      </c>
      <c r="H150" s="83" t="s">
        <v>1</v>
      </c>
      <c r="I150" s="86" t="str">
        <f t="shared" si="3"/>
        <v>NA</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t="str">
        <f>VLOOKUP(A3,Data!A1:CM89,79,FALSE)</f>
        <v>NA</v>
      </c>
      <c r="H154" s="83" t="s">
        <v>1</v>
      </c>
      <c r="I154" s="86" t="str">
        <f t="shared" si="3"/>
        <v>NA</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t="str">
        <f>VLOOKUP(A3,Data!A1:CM89,80,FALSE)</f>
        <v>NA</v>
      </c>
      <c r="H158" s="83" t="s">
        <v>1</v>
      </c>
      <c r="I158" s="86" t="str">
        <f t="shared" si="3"/>
        <v>NA</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t="str">
        <f>VLOOKUP(A3,Data!A1:CM89,81,FALSE)</f>
        <v>NA</v>
      </c>
      <c r="H162" s="83" t="s">
        <v>1</v>
      </c>
      <c r="I162" s="86" t="str">
        <f t="shared" ref="I162" si="4">IF(OR(G162="NA",G162="**"),"NA",IF(G162&lt;C162,"Not Met","Met"))</f>
        <v>NA</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NA</v>
      </c>
      <c r="H166" s="83" t="s">
        <v>1</v>
      </c>
      <c r="I166" s="86" t="str">
        <f>IF(OR(G166="NA",G166="**"),"NA",IF(G166="No","Met",IF(G166="Yes","Not Met")))</f>
        <v>NA</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NA</v>
      </c>
      <c r="H171" s="83" t="s">
        <v>1</v>
      </c>
      <c r="I171" s="86" t="str">
        <f>IF(OR(G171="NA",G171="**"),"NA",IF(G171="No","Met",IF(G171="Yes","Not Met")))</f>
        <v>NA</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t="str">
        <f>VLOOKUP(A3,Data!A1:CM89,84,FALSE)</f>
        <v>NA</v>
      </c>
      <c r="H175" s="83" t="s">
        <v>1</v>
      </c>
      <c r="I175" s="86" t="str">
        <f>IF(OR(G175="NA",G175="**"),"NA",IF(G175&lt;C175,"Not Met","Met"))</f>
        <v>NA</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t="str">
        <f>VLOOKUP(A3,Data!A1:CM89,85,FALSE)</f>
        <v>NA</v>
      </c>
      <c r="H180" s="83" t="s">
        <v>1</v>
      </c>
      <c r="I180" s="86" t="str">
        <f t="shared" si="3"/>
        <v>NA</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t="str">
        <f>VLOOKUP(A3,Data!A1:CM89,86,FALSE)</f>
        <v>NA</v>
      </c>
      <c r="H184" s="83" t="s">
        <v>1</v>
      </c>
      <c r="I184" s="86" t="str">
        <f t="shared" ref="I184" si="5">IF(OR(G184="NA",G184="**"),"NA",IF(G184&lt;C184,"Not Met","Met"))</f>
        <v>NA</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t="str">
        <f>VLOOKUP(A3,Data!A1:CM89,87,FALSE)</f>
        <v>NA</v>
      </c>
      <c r="H189" s="83" t="s">
        <v>1</v>
      </c>
      <c r="I189" s="86" t="str">
        <f t="shared" ref="I189" si="6">IF(OR(G189="NA",G189="**"),"NA",IF(G189&lt;C189,"Not Met","Met"))</f>
        <v>NA</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t="str">
        <f>VLOOKUP(A3,Data!A1:CM89,88,FALSE)</f>
        <v>NA</v>
      </c>
      <c r="H193" s="83" t="s">
        <v>1</v>
      </c>
      <c r="I193" s="86" t="str">
        <f>IF(OR(G193="NA",G193="**"),"NA",IF(G193&lt;C193,"Not Met","Met"))</f>
        <v>NA</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t="str">
        <f>VLOOKUP(A3,Data!A1:CM89,89,FALSE)</f>
        <v>NA</v>
      </c>
      <c r="H197" s="83" t="s">
        <v>1</v>
      </c>
      <c r="I197" s="86" t="str">
        <f t="shared" ref="I197" si="7">IF(OR(G197="NA",G197="**"),"NA",IF(G197&lt;C197,"Not Met","Met"))</f>
        <v>NA</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SCGSSM</v>
      </c>
      <c r="B3" s="45"/>
      <c r="C3" s="45"/>
      <c r="D3" s="45"/>
      <c r="E3" s="45"/>
      <c r="F3" s="45"/>
      <c r="G3" s="45"/>
      <c r="H3" s="13"/>
      <c r="I3" s="13"/>
      <c r="J3" s="13"/>
    </row>
    <row r="4" spans="1:10" x14ac:dyDescent="0.2">
      <c r="A4" s="16" t="str">
        <f>VLOOKUP(A3,Data!A1:CM89,2,FALSE)</f>
        <v>401 Railroad Ave</v>
      </c>
      <c r="B4" s="16"/>
      <c r="C4" s="16"/>
      <c r="D4" s="16"/>
      <c r="E4" s="16"/>
      <c r="F4" s="11"/>
      <c r="G4" s="11"/>
    </row>
    <row r="5" spans="1:10" x14ac:dyDescent="0.2">
      <c r="A5" s="16" t="str">
        <f>VLOOKUP(A3,Data!A1:CM89,3,FALSE)</f>
        <v>Hartsville</v>
      </c>
      <c r="B5" s="16"/>
      <c r="C5" s="15" t="str">
        <f>VLOOKUP(A3,Data!A1:CM89,4,FALSE)</f>
        <v>SC</v>
      </c>
      <c r="D5" s="15">
        <f>VLOOKUP(A3,Data!A1:CM89,5,FALSE)</f>
        <v>29550</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t="str">
        <f>VLOOKUP(A3,Data!A1:CM89,7,FALSE)</f>
        <v>NA</v>
      </c>
      <c r="C13" s="107" t="str">
        <f>IF(B13=0,"High risk with systemic fiscal findings",
IF(B13=1,"High risk based on fiscal risk factors",
IF(B13=2,"Moderate risk based on fiscal risk factors",
IF(B13=3,"Low risk based on fiscal risk factors",""))))</f>
        <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t="str">
        <f>VLOOKUP(A3,Data!A1:CM89,10,FALSE)</f>
        <v>NA</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t="str">
        <f>VLOOKUP(A3,Data!A1:CM89,12,FALSE)</f>
        <v>NA</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
      </c>
      <c r="D24" s="103"/>
      <c r="E24" s="103"/>
      <c r="F24" s="103"/>
      <c r="G24" s="103"/>
      <c r="H24" s="103"/>
      <c r="I24" s="103"/>
      <c r="J24" s="103"/>
    </row>
    <row r="25" spans="1:10" ht="21.95" customHeight="1" x14ac:dyDescent="0.2">
      <c r="A25" s="57" t="s">
        <v>16</v>
      </c>
      <c r="B25" s="50">
        <f>SUM(B10,B13,B15,B17,B20,B22,B24)</f>
        <v>12</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t="str">
        <f>VLOOKUP(A3,Data!A1:CM89,13,FALSE)</f>
        <v>NA</v>
      </c>
      <c r="C28" s="26" t="str">
        <f>IF(B28=0,"Does not meet prior year’s state performance and did not improve",
IF(B28=1,"Does not meet prior year’s state performance but improved since last year",
IF(B28=2,"Meets or exceeds prior year’s state performance",
IF(B28=3,"Meets or exceeds current state target",""))))</f>
        <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t="str">
        <f>VLOOKUP(A3,Data!A1:CM89,14,FALSE)</f>
        <v>NA</v>
      </c>
      <c r="D32" s="33"/>
      <c r="E32" s="29"/>
      <c r="F32" s="29"/>
      <c r="G32" s="29"/>
      <c r="H32" s="29"/>
      <c r="I32" s="29"/>
      <c r="J32" s="29"/>
    </row>
    <row r="33" spans="1:10" ht="11.25" customHeight="1" x14ac:dyDescent="0.2">
      <c r="A33" s="24"/>
      <c r="B33" s="52" t="s">
        <v>323</v>
      </c>
      <c r="C33" s="70" t="str">
        <f>VLOOKUP(A3,Data!A1:CM89,15,FALSE)</f>
        <v>NA</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t="str">
        <f>VLOOKUP(A3,Data!A1:CM89,16,FALSE)</f>
        <v>NA</v>
      </c>
      <c r="C36" s="26" t="str">
        <f>IF(B36=0,"Does not meet prior year’s state performance and did not improve",
IF(B36=1,"Does not meet prior year’s state performance but improved since last year",
IF(B36=2,"Meets or exceeds prior year’s state performance",
IF(B36=3,"Meets or exceeds current state target",""))))</f>
        <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t="str">
        <f>VLOOKUP(A3,Data!A1:CM89,18,FALSE)</f>
        <v>NA</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t="str">
        <f>VLOOKUP(A3,Data!A1:CM89,19,FALSE)</f>
        <v>NA</v>
      </c>
      <c r="C44" s="26" t="str">
        <f>IF(B44=0,"Does not meet prior year’s state performance and did not improve",
IF(B44=1,"Does not meet prior year’s state performance but improved since last year",
IF(B44=2,"Meets or exceeds prior year’s state performance",
IF(B44=3,"Meets or exceeds current state target",""))))</f>
        <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t="str">
        <f>VLOOKUP(A3,Data!A1:CM89,21,FALSE)</f>
        <v>NA</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t="str">
        <f>VLOOKUP(A3,Data!A1:CM89,22,FALSE)</f>
        <v>NA</v>
      </c>
      <c r="C52" s="26" t="str">
        <f>IF(B52=0,"Does not meet prior year’s state performance and did not improve",
IF(B52=1,"Does not meet prior year’s state performance but improved since last year",
IF(B52=2,"Meets or exceeds prior year’s state performance",
IF(B52=3,"Meets or exceeds current state target",""))))</f>
        <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t="str">
        <f>VLOOKUP(A3,Data!A1:CM89,23,FALSE)</f>
        <v>NA</v>
      </c>
      <c r="D56" s="33"/>
      <c r="E56" s="29"/>
      <c r="F56" s="29"/>
      <c r="G56" s="29"/>
      <c r="H56" s="29"/>
      <c r="I56" s="29"/>
      <c r="J56" s="29"/>
    </row>
    <row r="57" spans="1:10" ht="11.25" customHeight="1" x14ac:dyDescent="0.2">
      <c r="A57" s="24"/>
      <c r="B57" s="52" t="s">
        <v>323</v>
      </c>
      <c r="C57" s="70" t="str">
        <f>VLOOKUP(A3,Data!A1:CM89,24,FALSE)</f>
        <v>NA</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t="str">
        <f>VLOOKUP(A3,Data!A1:CM89,25,FALSE)</f>
        <v>NA</v>
      </c>
      <c r="C60" s="26" t="str">
        <f>IF(B60=0,"Does not meet prior year’s state performance and did not improve",
IF(B60=1,"Does not meet prior year’s state performance but improved since last year",
IF(B60=2,"Meets or exceeds prior year’s state performance",
IF(B60=3,"Meets or exceeds current state target",""))))</f>
        <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t="str">
        <f>VLOOKUP(A3,Data!A1:CM89,26,FALSE)</f>
        <v>NA</v>
      </c>
      <c r="D64" s="33"/>
      <c r="E64" s="29"/>
      <c r="F64" s="29"/>
      <c r="G64" s="29"/>
      <c r="H64" s="29"/>
      <c r="I64" s="29"/>
      <c r="J64" s="29"/>
    </row>
    <row r="65" spans="1:10" ht="11.25" customHeight="1" x14ac:dyDescent="0.2">
      <c r="A65" s="24"/>
      <c r="B65" s="52" t="s">
        <v>323</v>
      </c>
      <c r="C65" s="70" t="str">
        <f>VLOOKUP(A3,Data!A1:CM89,27,FALSE)</f>
        <v>NA</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t="str">
        <f>VLOOKUP(A3,Data!A1:CM89,28,FALSE)</f>
        <v>NA</v>
      </c>
      <c r="C68" s="26" t="str">
        <f>IF(B68=0,"Does not meet prior year’s state performance and did not improve",
IF(B68=1,"Does not meet prior year’s state performance but improved since last year",
IF(B68=2,"Meets or exceeds prior year’s state performance",
IF(B68=3,"Meets or exceeds current state target",""))))</f>
        <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t="str">
        <f>VLOOKUP(A3,Data!A1:CM89,29,FALSE)</f>
        <v>NA</v>
      </c>
      <c r="D72" s="33"/>
      <c r="E72" s="29"/>
      <c r="F72" s="29"/>
      <c r="G72" s="29"/>
      <c r="H72" s="29"/>
      <c r="I72" s="29"/>
      <c r="J72" s="29"/>
    </row>
    <row r="73" spans="1:10" ht="11.25" customHeight="1" x14ac:dyDescent="0.2">
      <c r="A73" s="24"/>
      <c r="B73" s="52" t="s">
        <v>323</v>
      </c>
      <c r="C73" s="70" t="str">
        <f>VLOOKUP(A3,Data!A1:CM89,30,FALSE)</f>
        <v>NA</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0</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and did not improve</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0</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12</v>
      </c>
      <c r="B87" s="51">
        <f>B83</f>
        <v>0</v>
      </c>
      <c r="C87" s="51">
        <f>SUM(A87:B87)</f>
        <v>12</v>
      </c>
      <c r="D87" s="80">
        <f>VLOOKUP(A3,Data!A1:CM89,91,FALSE)</f>
        <v>18</v>
      </c>
      <c r="E87" s="51">
        <f>VLOOKUP(A3,Data!A1:CM89,34,FALSE)</f>
        <v>0</v>
      </c>
      <c r="F87" s="42">
        <f>SUM(A87,B87,E87)/D87</f>
        <v>0.66666666666666663</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2022-12-06T17:55:55Z</dcterms:modified>
</cp:coreProperties>
</file>