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Zlcqf0O0vm+alQqej1gQFTs8OeaYroH/XhbYuJtdPdYpH0+VlXqspBHruUlWzhGbuGV2Fpcn13qNWMOsHxryJQ==" workbookSaltValue="pPJqF1w4UQ3ULPrJqcDJv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<sst xmlns="http://schemas.openxmlformats.org/spreadsheetml/2006/main" count="2178" uniqueCount="508">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</sst>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0.66669999999999996</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0.33329999999999999</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0.16669999999999999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0.33329999999999999</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0.125</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9.0899999999999995E-2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0.6</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0.66669999999999996</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0.6</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0.23530000000000001</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0.4118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0.52939999999999998</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0.4118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5.5599999999999997E-2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0.4118</c:v>
                </c:pt>
                <c:pt idx="3">
                  <c:v>0.5333</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c:v>
                </c:pt>
                <c:pt idx="3">
                  <c:v>0</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1</c:v>
                </c:pt>
                <c:pt idx="3">
                  <c:v>1</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3.4799999999999998E-2</c:v>
                </c:pt>
                <c:pt idx="3">
                  <c:v>5.7799999999999997E-2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6.3E-2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503</v>
      </c>
      <c r="B3" s="45"/>
      <c r="C3" s="45"/>
      <c r="D3" s="45"/>
      <c r="E3" s="45"/>
      <c r="F3" s="45"/>
      <c r="G3" s="45"/>
      <c r="H3" s="45"/>
      <c r="I3" s="45"/>
      <c r="J3" s="45"/>
      <c r="K3" s="45"/>
      <c r="L3" s="45"/>
      <c r="M3" s="45"/>
      <c r="N3" s="45"/>
      <c r="O3" s="13"/>
      <c r="T3" s="59"/>
      <c r="U3" s="59"/>
    </row>
    <row r="4" spans="1:21" s="12" customFormat="1" ht="11.25" x14ac:dyDescent="0.2">
      <c r="A4" s="16" t="str">
        <f>+VLOOKUP(A3,Data!A1:CM89,2,FALSE)</f>
        <v>355 Cedar Springs Rd.</v>
      </c>
      <c r="B4" s="16"/>
      <c r="C4" s="15"/>
      <c r="D4" s="16"/>
      <c r="E4" s="15"/>
      <c r="F4" s="15"/>
      <c r="G4" s="16"/>
      <c r="H4" s="16"/>
      <c r="I4" s="16"/>
      <c r="J4" s="16"/>
      <c r="K4" s="11"/>
      <c r="L4" s="11"/>
      <c r="T4" s="11"/>
      <c r="U4" s="11"/>
    </row>
    <row r="5" spans="1:21" s="12" customFormat="1" ht="11.25" x14ac:dyDescent="0.2">
      <c r="A5" s="16" t="str">
        <f>+VLOOKUP(A3,Data!A1:CM89,3,FALSE)</f>
        <v>Spartanburg</v>
      </c>
      <c r="B5" s="16"/>
      <c r="C5" s="15"/>
      <c r="D5" s="16"/>
      <c r="E5" s="15"/>
      <c r="F5" s="15"/>
      <c r="G5" s="15" t="str">
        <f>+VLOOKUP(A3,Data!A1:CM89,4,FALSE)</f>
        <v>SC</v>
      </c>
      <c r="H5" s="15"/>
      <c r="I5" s="15">
        <f>+VLOOKUP(A3,Data!A1:CM89,5,FALSE)</f>
        <v>29302</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0.4118</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1</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1</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1</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1</v>
      </c>
      <c r="H34" s="83" t="s">
        <v>1</v>
      </c>
      <c r="I34" s="86" t="str">
        <f>IF(OR(G34="NA",G34="**"),"NA",IF(G34&lt;C34,"Not Met","Met"))</f>
        <v>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0.125</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9.0899999999999995E-2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0.6</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0.66669999999999996</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0.6</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t="str">
        <f>VLOOKUP(A3,Data!A1:CM89,63,FALSE)</f>
        <v>NA</v>
      </c>
      <c r="H99" s="83" t="s">
        <v>1</v>
      </c>
      <c r="I99" s="86" t="str">
        <f t="shared" ref="I99" si="2">IF(OR(G99="NA",G99="**"),"NA",IF(G99&lt;C99,"Not Met","Met"))</f>
        <v>NA</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t="str">
        <f>VLOOKUP(A3,Data!A1:CM89,64,FALSE)</f>
        <v>NA</v>
      </c>
      <c r="H102" s="83" t="s">
        <v>1</v>
      </c>
      <c r="I102" s="86" t="str">
        <f>IF(OR(G102="NA",G102="**"),"NA",IF(G102&gt;C102,"Not Met","Met"))</f>
        <v>NA</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t="str">
        <f>VLOOKUP(A3,Data!A1:CM89,65,FALSE)</f>
        <v>NA</v>
      </c>
      <c r="H105" s="83" t="s">
        <v>1</v>
      </c>
      <c r="I105" s="86" t="str">
        <f>IF(OR(G105="NA",G105="**"),"NA",IF(G105&gt;C105,"Not Met","Met"))</f>
        <v>NA</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t="str">
        <f>VLOOKUP(A3,Data!A1:CM89,67,FALSE)</f>
        <v>NA</v>
      </c>
      <c r="H112" s="83" t="s">
        <v>1</v>
      </c>
      <c r="I112" s="86" t="str">
        <f t="shared" ref="I112:I180" si="3">IF(OR(G112="NA",G112="**"),"NA",IF(G112&lt;C112,"Not Met","Met"))</f>
        <v>NA</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0.66669999999999996</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0.33329999999999999</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0.16669999999999999</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0.33329999999999999</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t="str">
        <f>VLOOKUP(A3,Data!A1:CM89,81,FALSE)</f>
        <v>NA</v>
      </c>
      <c r="H162" s="83" t="s">
        <v>1</v>
      </c>
      <c r="I162" s="86" t="str">
        <f t="shared" ref="I162" si="4">IF(OR(G162="NA",G162="**"),"NA",IF(G162&lt;C162,"Not Met","Met"))</f>
        <v>NA</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NA</v>
      </c>
      <c r="H171" s="83" t="s">
        <v>1</v>
      </c>
      <c r="I171" s="86" t="str">
        <f>IF(OR(G171="NA",G171="**"),"NA",IF(G171="No","Met",IF(G171="Yes","Not Met")))</f>
        <v>NA</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1</v>
      </c>
      <c r="H175" s="83" t="s">
        <v>1</v>
      </c>
      <c r="I175" s="86" t="str">
        <f>IF(OR(G175="NA",G175="**"),"NA",IF(G175&lt;C175,"Not Met","Met"))</f>
        <v>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t="str">
        <f>VLOOKUP(A3,Data!A1:CM89,85,FALSE)</f>
        <v>NA</v>
      </c>
      <c r="H180" s="83" t="s">
        <v>1</v>
      </c>
      <c r="I180" s="86" t="str">
        <f t="shared" si="3"/>
        <v>NA</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0.23530000000000001</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0.4118</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0.52939999999999998</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SCSDB</v>
      </c>
      <c r="B3" s="45"/>
      <c r="C3" s="45"/>
      <c r="D3" s="45"/>
      <c r="E3" s="45"/>
      <c r="F3" s="45"/>
      <c r="G3" s="45"/>
      <c r="H3" s="13"/>
      <c r="I3" s="13"/>
      <c r="J3" s="13"/>
    </row>
    <row r="4" spans="1:10" x14ac:dyDescent="0.2">
      <c r="A4" s="16" t="str">
        <f>VLOOKUP(A3,Data!A1:CM89,2,FALSE)</f>
        <v>355 Cedar Springs Rd.</v>
      </c>
      <c r="B4" s="16"/>
      <c r="C4" s="16"/>
      <c r="D4" s="16"/>
      <c r="E4" s="16"/>
      <c r="F4" s="11"/>
      <c r="G4" s="11"/>
    </row>
    <row r="5" spans="1:10" x14ac:dyDescent="0.2">
      <c r="A5" s="16" t="str">
        <f>VLOOKUP(A3,Data!A1:CM89,3,FALSE)</f>
        <v>Spartanburg</v>
      </c>
      <c r="B5" s="16"/>
      <c r="C5" s="15" t="str">
        <f>VLOOKUP(A3,Data!A1:CM89,4,FALSE)</f>
        <v>SC</v>
      </c>
      <c r="D5" s="15">
        <f>VLOOKUP(A3,Data!A1:CM89,5,FALSE)</f>
        <v>29302</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t="str">
        <f>VLOOKUP(A3,Data!A1:CM89,12,FALSE)</f>
        <v>NA</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
      </c>
      <c r="D24" s="103"/>
      <c r="E24" s="103"/>
      <c r="F24" s="103"/>
      <c r="G24" s="103"/>
      <c r="H24" s="103"/>
      <c r="I24" s="103"/>
      <c r="J24" s="103"/>
    </row>
    <row r="25" spans="1:10" ht="21.95" customHeight="1" x14ac:dyDescent="0.2">
      <c r="A25" s="57" t="s">
        <v>16</v>
      </c>
      <c r="B25" s="50">
        <f>SUM(B10,B13,B15,B17,B20,B22,B24)</f>
        <v>18</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1</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but improved since last year</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0.4118</v>
      </c>
      <c r="D32" s="33"/>
      <c r="E32" s="29"/>
      <c r="F32" s="29"/>
      <c r="G32" s="29"/>
      <c r="H32" s="29"/>
      <c r="I32" s="29"/>
      <c r="J32" s="29"/>
    </row>
    <row r="33" spans="1:10" ht="11.25" customHeight="1" x14ac:dyDescent="0.2">
      <c r="A33" s="24"/>
      <c r="B33" s="52" t="s">
        <v>323</v>
      </c>
      <c r="C33" s="70">
        <f>VLOOKUP(A3,Data!A1:CM89,15,FALSE)</f>
        <v>0.5333</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5.5599999999999997E-2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0</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and did not improve</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t="str">
        <f>VLOOKUP(A3,Data!A1:CM89,22,FALSE)</f>
        <v>NA</v>
      </c>
      <c r="C52" s="26" t="str">
        <f>IF(B52=0,"Does not meet prior year’s state performance and did not improve",
IF(B52=1,"Does not meet prior year’s state performance but improved since last year",
IF(B52=2,"Meets or exceeds prior year’s state performance",
IF(B52=3,"Meets or exceeds current state target",""))))</f>
        <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t="str">
        <f>VLOOKUP(A3,Data!A1:CM89,23,FALSE)</f>
        <v>NA</v>
      </c>
      <c r="D56" s="33"/>
      <c r="E56" s="29"/>
      <c r="F56" s="29"/>
      <c r="G56" s="29"/>
      <c r="H56" s="29"/>
      <c r="I56" s="29"/>
      <c r="J56" s="29"/>
    </row>
    <row r="57" spans="1:10" ht="11.25" customHeight="1" x14ac:dyDescent="0.2">
      <c r="A57" s="24"/>
      <c r="B57" s="52" t="s">
        <v>323</v>
      </c>
      <c r="C57" s="70" t="str">
        <f>VLOOKUP(A3,Data!A1:CM89,24,FALSE)</f>
        <v>NA</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t="str">
        <f>VLOOKUP(A3,Data!A1:CM89,25,FALSE)</f>
        <v>NA</v>
      </c>
      <c r="C60" s="26" t="str">
        <f>IF(B60=0,"Does not meet prior year’s state performance and did not improve",
IF(B60=1,"Does not meet prior year’s state performance but improved since last year",
IF(B60=2,"Meets or exceeds prior year’s state performance",
IF(B60=3,"Meets or exceeds current state target",""))))</f>
        <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1</v>
      </c>
      <c r="D64" s="33"/>
      <c r="E64" s="29"/>
      <c r="F64" s="29"/>
      <c r="G64" s="29"/>
      <c r="H64" s="29"/>
      <c r="I64" s="29"/>
      <c r="J64" s="29"/>
    </row>
    <row r="65" spans="1:10" ht="11.25" customHeight="1" x14ac:dyDescent="0.2">
      <c r="A65" s="24"/>
      <c r="B65" s="52" t="s">
        <v>323</v>
      </c>
      <c r="C65" s="70">
        <f>VLOOKUP(A3,Data!A1:CM89,27,FALSE)</f>
        <v>1</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3.4799999999999998E-2</v>
      </c>
      <c r="D72" s="33"/>
      <c r="E72" s="29"/>
      <c r="F72" s="29"/>
      <c r="G72" s="29"/>
      <c r="H72" s="29"/>
      <c r="I72" s="29"/>
      <c r="J72" s="29"/>
    </row>
    <row r="73" spans="1:10" ht="11.25" customHeight="1" x14ac:dyDescent="0.2">
      <c r="A73" s="24"/>
      <c r="B73" s="52" t="s">
        <v>323</v>
      </c>
      <c r="C73" s="70">
        <f>VLOOKUP(A3,Data!A1:CM89,30,FALSE)</f>
        <v>5.7799999999999997E-2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6.3E-2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6</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18</v>
      </c>
      <c r="B87" s="51">
        <f>B83</f>
        <v>6</v>
      </c>
      <c r="C87" s="51">
        <f>SUM(A87:B87)</f>
        <v>24</v>
      </c>
      <c r="D87" s="80">
        <f>VLOOKUP(A3,Data!A1:CM89,91,FALSE)</f>
        <v>39</v>
      </c>
      <c r="E87" s="51">
        <f>VLOOKUP(A3,Data!A1:CM89,34,FALSE)</f>
        <v>2</v>
      </c>
      <c r="F87" s="42">
        <f>SUM(A87,B87,E87)/D87</f>
        <v>0.66666666666666663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2022-12-06T17:55:57Z</dcterms:modified>
</cp:coreProperties>
</file>