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tQdJ8bQrY9hkOtG+O+hOpkBzRIJqZ0JoE1conx9tXNUXRKF11RZqBf0lBz93YAUN0mEzqQgGcMVV8gvbKgOtg==" workbookSaltValue="ycn9UejwU3kKohBsErMxm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<sst xmlns="http://schemas.openxmlformats.org/spreadsheetml/2006/main" count="2178" uniqueCount="508">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</sst>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0.5</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0.625</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2.5000000000000001E-2</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0.1071</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2.5000000000000001E-2</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0.84619999999999995</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0.61040000000000005</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0.58440000000000003</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0.87760000000000005</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0.2727</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0.75</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0.76619999999999999</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0.91300000000000003</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0.98499999999999999</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0.95240000000000002</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0.98480000000000001</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0.96189999999999998</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0.81899999999999995</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0.28910000000000002</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0.1348</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0.56359999999999999</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0.30230000000000001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7.7799999999999994E-2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0.29409999999999997</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1</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9.0899999999999995E-2</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0.2</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0.66669999999999996</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0.36359999999999998</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0.33950000000000002</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0.3478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0.33150000000000002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0.30980000000000002</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0.2984</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0.33510000000000001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0.73209999999999997</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0.1686</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0.90439999999999998</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0.8</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0.8</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0.2286</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0.61429999999999996</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6.4000000000000003E-3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0.99250000000000005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0.2258</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0.61429999999999996</c:v>
                </c:pt>
                <c:pt idx="3">
                  <c:v>0.46589999999999998</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0.21</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0.17299999999999999</c:v>
                </c:pt>
                <c:pt idx="3">
                  <c:v>0.1686</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3.0499999999999999E-2</c:v>
                </c:pt>
                <c:pt idx="3">
                  <c:v>1.32E-2</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0.1074</c:v>
                </c:pt>
                <c:pt idx="3">
                  <c:v>9.7600000000000006E-2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0.28399999999999997</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91</v>
      </c>
      <c r="B3" s="45"/>
      <c r="C3" s="45"/>
      <c r="D3" s="45"/>
      <c r="E3" s="45"/>
      <c r="F3" s="45"/>
      <c r="G3" s="45"/>
      <c r="H3" s="45"/>
      <c r="I3" s="45"/>
      <c r="J3" s="45"/>
      <c r="K3" s="45"/>
      <c r="L3" s="45"/>
      <c r="M3" s="45"/>
      <c r="N3" s="45"/>
      <c r="O3" s="13"/>
      <c r="T3" s="59"/>
      <c r="U3" s="59"/>
    </row>
    <row r="4" spans="1:21" s="12" customFormat="1" ht="11.25" x14ac:dyDescent="0.2">
      <c r="A4" s="16" t="str">
        <f>+VLOOKUP(A3,Data!A1:CM89,2,FALSE)</f>
        <v>3231 Old Furnace Rd</v>
      </c>
      <c r="B4" s="16"/>
      <c r="C4" s="15"/>
      <c r="D4" s="16"/>
      <c r="E4" s="15"/>
      <c r="F4" s="15"/>
      <c r="G4" s="16"/>
      <c r="H4" s="16"/>
      <c r="I4" s="16"/>
      <c r="J4" s="16"/>
      <c r="K4" s="11"/>
      <c r="L4" s="11"/>
      <c r="T4" s="11"/>
      <c r="U4" s="11"/>
    </row>
    <row r="5" spans="1:21" s="12" customFormat="1" ht="11.25" x14ac:dyDescent="0.2">
      <c r="A5" s="16" t="str">
        <f>+VLOOKUP(A3,Data!A1:CM89,3,FALSE)</f>
        <v>Chesnee</v>
      </c>
      <c r="B5" s="16"/>
      <c r="C5" s="15"/>
      <c r="D5" s="16"/>
      <c r="E5" s="15"/>
      <c r="F5" s="15"/>
      <c r="G5" s="15" t="str">
        <f>+VLOOKUP(A3,Data!A1:CM89,4,FALSE)</f>
        <v>SC</v>
      </c>
      <c r="H5" s="15"/>
      <c r="I5" s="15">
        <f>+VLOOKUP(A3,Data!A1:CM89,5,FALSE)</f>
        <v>29323</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0.61429999999999996</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0.2286</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0.98499999999999999</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0.95240000000000002</v>
      </c>
      <c r="H22" s="83" t="s">
        <v>1</v>
      </c>
      <c r="I22" s="86" t="str">
        <f>IF(OR(G22="NA",G22="**"),"NA",IF(G22&lt;C22,"Not Met","Met"))</f>
        <v>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0.98480000000000001</v>
      </c>
      <c r="H25" s="83" t="s">
        <v>1</v>
      </c>
      <c r="I25" s="86" t="str">
        <f>IF(OR(G25="NA",G25="**"),"NA",IF(G25&lt;C25,"Not Met","Met"))</f>
        <v>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0.99250000000000005</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0.96189999999999998</v>
      </c>
      <c r="H31" s="83" t="s">
        <v>1</v>
      </c>
      <c r="I31" s="86" t="str">
        <f>IF(OR(G31="NA",G31="**"),"NA",IF(G31&lt;C31,"Not Met","Met"))</f>
        <v>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0.81899999999999995</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0.28910000000000002</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0.1348</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0.56359999999999999</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0.30230000000000001</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7.7799999999999994E-2</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0.29409999999999997</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1</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9.0899999999999995E-2</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0.2</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0.66669999999999996</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0.36359999999999998</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0.33950000000000002</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0.3478</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0.33150000000000002</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0.30980000000000002</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0.2984</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0.33510000000000001</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0.73209999999999997</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0.1686</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6.4000000000000003E-3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0.5</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0.75</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0.625</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2.5000000000000001E-2</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0.1071</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2.5000000000000001E-2</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0.84619999999999995</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0.61040000000000005</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0.85</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0.58440000000000003</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0.87760000000000005</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0.76619999999999999</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0.91300000000000003</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0.90439999999999998</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0.2727</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0.2</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0.8</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0.8</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Spartanburg 2</v>
      </c>
      <c r="B3" s="45"/>
      <c r="C3" s="45"/>
      <c r="D3" s="45"/>
      <c r="E3" s="45"/>
      <c r="F3" s="45"/>
      <c r="G3" s="45"/>
      <c r="H3" s="13"/>
      <c r="I3" s="13"/>
      <c r="J3" s="13"/>
    </row>
    <row r="4" spans="1:10" x14ac:dyDescent="0.2">
      <c r="A4" s="16" t="str">
        <f>VLOOKUP(A3,Data!A1:CM89,2,FALSE)</f>
        <v>3231 Old Furnace Rd</v>
      </c>
      <c r="B4" s="16"/>
      <c r="C4" s="16"/>
      <c r="D4" s="16"/>
      <c r="E4" s="16"/>
      <c r="F4" s="11"/>
      <c r="G4" s="11"/>
    </row>
    <row r="5" spans="1:10" x14ac:dyDescent="0.2">
      <c r="A5" s="16" t="str">
        <f>VLOOKUP(A3,Data!A1:CM89,3,FALSE)</f>
        <v>Chesnee</v>
      </c>
      <c r="B5" s="16"/>
      <c r="C5" s="15" t="str">
        <f>VLOOKUP(A3,Data!A1:CM89,4,FALSE)</f>
        <v>SC</v>
      </c>
      <c r="D5" s="15">
        <f>VLOOKUP(A3,Data!A1:CM89,5,FALSE)</f>
        <v>29323</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0.61429999999999996</v>
      </c>
      <c r="D32" s="33"/>
      <c r="E32" s="29"/>
      <c r="F32" s="29"/>
      <c r="G32" s="29"/>
      <c r="H32" s="29"/>
      <c r="I32" s="29"/>
      <c r="J32" s="29"/>
    </row>
    <row r="33" spans="1:10" ht="11.25" customHeight="1" x14ac:dyDescent="0.2">
      <c r="A33" s="24"/>
      <c r="B33" s="52" t="s">
        <v>323</v>
      </c>
      <c r="C33" s="70">
        <f>VLOOKUP(A3,Data!A1:CM89,15,FALSE)</f>
        <v>0.46589999999999998</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0.2258</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0.21</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1</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but improved since last year</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0.17299999999999999</v>
      </c>
      <c r="D56" s="33"/>
      <c r="E56" s="29"/>
      <c r="F56" s="29"/>
      <c r="G56" s="29"/>
      <c r="H56" s="29"/>
      <c r="I56" s="29"/>
      <c r="J56" s="29"/>
    </row>
    <row r="57" spans="1:10" ht="11.25" customHeight="1" x14ac:dyDescent="0.2">
      <c r="A57" s="24"/>
      <c r="B57" s="52" t="s">
        <v>323</v>
      </c>
      <c r="C57" s="70">
        <f>VLOOKUP(A3,Data!A1:CM89,24,FALSE)</f>
        <v>0.1686</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3.0499999999999999E-2</v>
      </c>
      <c r="D64" s="33"/>
      <c r="E64" s="29"/>
      <c r="F64" s="29"/>
      <c r="G64" s="29"/>
      <c r="H64" s="29"/>
      <c r="I64" s="29"/>
      <c r="J64" s="29"/>
    </row>
    <row r="65" spans="1:10" ht="11.25" customHeight="1" x14ac:dyDescent="0.2">
      <c r="A65" s="24"/>
      <c r="B65" s="52" t="s">
        <v>323</v>
      </c>
      <c r="C65" s="70">
        <f>VLOOKUP(A3,Data!A1:CM89,27,FALSE)</f>
        <v>1.32E-2</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1</v>
      </c>
      <c r="C68" s="26" t="str">
        <f>IF(B68=0,"Does not meet prior year’s state performance and did not improve",
IF(B68=1,"Does not meet prior year’s state performance but improved since last year",
IF(B68=2,"Meets or exceeds prior year’s state performance",
IF(B68=3,"Meets or exceeds current state target",""))))</f>
        <v>Does not meet prior year’s state performance but improved since last year</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0.1074</v>
      </c>
      <c r="D72" s="33"/>
      <c r="E72" s="29"/>
      <c r="F72" s="29"/>
      <c r="G72" s="29"/>
      <c r="H72" s="29"/>
      <c r="I72" s="29"/>
      <c r="J72" s="29"/>
    </row>
    <row r="73" spans="1:10" ht="11.25" customHeight="1" x14ac:dyDescent="0.2">
      <c r="A73" s="24"/>
      <c r="B73" s="52" t="s">
        <v>323</v>
      </c>
      <c r="C73" s="70">
        <f>VLOOKUP(A3,Data!A1:CM89,30,FALSE)</f>
        <v>9.7600000000000006E-2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0.28399999999999997</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14</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14</v>
      </c>
      <c r="C87" s="51">
        <f>SUM(A87:B87)</f>
        <v>35</v>
      </c>
      <c r="D87" s="80">
        <f>VLOOKUP(A3,Data!A1:CM89,91,FALSE)</f>
        <v>42</v>
      </c>
      <c r="E87" s="51">
        <f>VLOOKUP(A3,Data!A1:CM89,34,FALSE)</f>
        <v>0</v>
      </c>
      <c r="F87" s="42">
        <f>SUM(A87,B87,E87)/D87</f>
        <v>0.83333333333333337</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2022-12-06T17:55:59Z</dcterms:modified>
</cp:coreProperties>
</file>