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6o0lll9CpR51dYkfgdIZ4JsVHSDwu/RLpLo8/YS/HvfnSpV7nOe504vn+W8yRnzXC7V6Ev/1dpTedZjsGUIF/g==" workbookSaltValue="j1viA1MnD/MacbZizyZypQ=="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<sst xmlns="http://schemas.openxmlformats.org/spreadsheetml/2006/main" count="2178" uniqueCount="508">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</sst>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0.28570000000000001</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0.5</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0.71430000000000005</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0.16669999999999999</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0.25</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0.88890000000000002</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0.44440000000000002</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1</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0.22220000000000001</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1</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0.66669999999999996</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0.44440000000000002</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0.94440000000000002</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0.94869999999999999</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0.95120000000000005</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0.91669999999999996</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0.92679999999999996</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0.72</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0.1081</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2.7E-2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0.5</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0.16220000000000001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2.7799999999999998E-2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0.27779999999999999</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0.43080000000000002</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0.33929999999999999</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0.31109999999999999</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0.39739999999999998</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0.37219999999999998</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0.36849999999999999</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0.62429999999999997</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0.19189999999999999</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0.88060000000000005</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0.5625</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0.75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6.6699999999999995E-2</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0.66669999999999996</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8.0999999999999996E-3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0.94869999999999999</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6.7599999999999993E-2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0.66669999999999996</c:v>
                </c:pt>
                <c:pt idx="3">
                  <c:v>0.54549999999999998</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9.5899999999999999E-2</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0.1789</c:v>
                </c:pt>
                <c:pt idx="3">
                  <c:v>0.19189999999999999</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0.3846</c:v>
                </c:pt>
                <c:pt idx="3">
                  <c:v>0.4118</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0.10100000000000001</c:v>
                </c:pt>
                <c:pt idx="3">
                  <c:v>0.1163</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0.29599999999999999</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93</v>
      </c>
      <c r="B3" s="45"/>
      <c r="C3" s="45"/>
      <c r="D3" s="45"/>
      <c r="E3" s="45"/>
      <c r="F3" s="45"/>
      <c r="G3" s="45"/>
      <c r="H3" s="45"/>
      <c r="I3" s="45"/>
      <c r="J3" s="45"/>
      <c r="K3" s="45"/>
      <c r="L3" s="45"/>
      <c r="M3" s="45"/>
      <c r="N3" s="45"/>
      <c r="O3" s="13"/>
      <c r="T3" s="59"/>
      <c r="U3" s="59"/>
    </row>
    <row r="4" spans="1:21" s="12" customFormat="1" ht="11.25" x14ac:dyDescent="0.2">
      <c r="A4" s="16" t="str">
        <f>+VLOOKUP(A3,Data!A1:CM89,2,FALSE)</f>
        <v>118 McEdco Road</v>
      </c>
      <c r="B4" s="16"/>
      <c r="C4" s="15"/>
      <c r="D4" s="16"/>
      <c r="E4" s="15"/>
      <c r="F4" s="15"/>
      <c r="G4" s="16"/>
      <c r="H4" s="16"/>
      <c r="I4" s="16"/>
      <c r="J4" s="16"/>
      <c r="K4" s="11"/>
      <c r="L4" s="11"/>
      <c r="T4" s="11"/>
      <c r="U4" s="11"/>
    </row>
    <row r="5" spans="1:21" s="12" customFormat="1" ht="11.25" x14ac:dyDescent="0.2">
      <c r="A5" s="16" t="str">
        <f>+VLOOKUP(A3,Data!A1:CM89,3,FALSE)</f>
        <v>Woodruff</v>
      </c>
      <c r="B5" s="16"/>
      <c r="C5" s="15"/>
      <c r="D5" s="16"/>
      <c r="E5" s="15"/>
      <c r="F5" s="15"/>
      <c r="G5" s="15" t="str">
        <f>+VLOOKUP(A3,Data!A1:CM89,4,FALSE)</f>
        <v>SC</v>
      </c>
      <c r="H5" s="15"/>
      <c r="I5" s="15">
        <f>+VLOOKUP(A3,Data!A1:CM89,5,FALSE)</f>
        <v>29388</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0.66669999999999996</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6.6699999999999995E-2</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0.94869999999999999</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0.95120000000000005</v>
      </c>
      <c r="H22" s="83" t="s">
        <v>1</v>
      </c>
      <c r="I22" s="86" t="str">
        <f>IF(OR(G22="NA",G22="**"),"NA",IF(G22&lt;C22,"Not Met","Met"))</f>
        <v>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0.91669999999999996</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0.94869999999999999</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0.92679999999999996</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0.72</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0.1081</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2.7E-2</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0.5</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0.16220000000000001</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2.7799999999999998E-2</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0.27779999999999999</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t="str">
        <f>VLOOKUP(A3,Data!A1:CM89,49,FALSE)</f>
        <v>NA</v>
      </c>
      <c r="H55" s="83" t="s">
        <v>1</v>
      </c>
      <c r="I55" s="86" t="str">
        <f>IF(OR(G55="NA",G55="**"),"NA",IF(G55&lt;C55,"Not Met","Met"))</f>
        <v>NA</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t="str">
        <f>VLOOKUP(A3,Data!A1:CM89,51,FALSE)</f>
        <v>NA</v>
      </c>
      <c r="H61" s="83" t="s">
        <v>1</v>
      </c>
      <c r="I61" s="86" t="str">
        <f>IF(OR(G61="NA",G61="**"),"NA",IF(G61&lt;C61,"Not Met","Met"))</f>
        <v>NA</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t="str">
        <f>VLOOKUP(A3,Data!A1:CM89,52,FALSE)</f>
        <v>NA</v>
      </c>
      <c r="H64" s="83" t="s">
        <v>1</v>
      </c>
      <c r="I64" s="86" t="str">
        <f>IF(OR(G64="NA",G64="**"),"NA",IF(G64&lt;C64,"Not Met","Met"))</f>
        <v>NA</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t="str">
        <f>VLOOKUP(A3,Data!A1:CM89,54,FALSE)</f>
        <v>NA</v>
      </c>
      <c r="H70" s="83" t="s">
        <v>1</v>
      </c>
      <c r="I70" s="86" t="str">
        <f>IF(OR(G70="NA",G70="**"),"NA",IF(G70&lt;C70,"Not Met","Met"))</f>
        <v>NA</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0.43080000000000002</v>
      </c>
      <c r="H73" s="83" t="s">
        <v>1</v>
      </c>
      <c r="I73" s="86" t="str">
        <f>IF(OR(G73="NA",G73="**"),"NA",IF(G73&gt;C73,"Not Met","Met"))</f>
        <v>Not 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0.33929999999999999</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0.31109999999999999</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0.39739999999999998</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0.37219999999999998</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0.36849999999999999</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0.62429999999999997</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0.19189999999999999</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8.0999999999999996E-3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0.28570000000000001</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0.66669999999999996</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0.5</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0.71430000000000005</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0.16669999999999999</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0.25</v>
      </c>
      <c r="H124" s="83" t="s">
        <v>1</v>
      </c>
      <c r="I124" s="86" t="str">
        <f>IF(OR(G124="NA",G124="**"),"NA",IF(G124&gt;C124,"Not Met","Met"))</f>
        <v>Not 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0.88890000000000002</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0.44440000000000002</v>
      </c>
      <c r="H142" s="83" t="s">
        <v>1</v>
      </c>
      <c r="I142" s="86" t="str">
        <f t="shared" si="3"/>
        <v>Not 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1</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0.22220000000000001</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1</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0.44440000000000002</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0.94440000000000002</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0.88060000000000005</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1</v>
      </c>
      <c r="H180" s="83" t="s">
        <v>1</v>
      </c>
      <c r="I180" s="86" t="str">
        <f t="shared" si="3"/>
        <v>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0.5625</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0.75</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Spartanburg 4</v>
      </c>
      <c r="B3" s="45"/>
      <c r="C3" s="45"/>
      <c r="D3" s="45"/>
      <c r="E3" s="45"/>
      <c r="F3" s="45"/>
      <c r="G3" s="45"/>
      <c r="H3" s="13"/>
      <c r="I3" s="13"/>
      <c r="J3" s="13"/>
    </row>
    <row r="4" spans="1:10" x14ac:dyDescent="0.2">
      <c r="A4" s="16" t="str">
        <f>VLOOKUP(A3,Data!A1:CM89,2,FALSE)</f>
        <v>118 McEdco Road</v>
      </c>
      <c r="B4" s="16"/>
      <c r="C4" s="16"/>
      <c r="D4" s="16"/>
      <c r="E4" s="16"/>
      <c r="F4" s="11"/>
      <c r="G4" s="11"/>
    </row>
    <row r="5" spans="1:10" x14ac:dyDescent="0.2">
      <c r="A5" s="16" t="str">
        <f>VLOOKUP(A3,Data!A1:CM89,3,FALSE)</f>
        <v>Woodruff</v>
      </c>
      <c r="B5" s="16"/>
      <c r="C5" s="15" t="str">
        <f>VLOOKUP(A3,Data!A1:CM89,4,FALSE)</f>
        <v>SC</v>
      </c>
      <c r="D5" s="15">
        <f>VLOOKUP(A3,Data!A1:CM89,5,FALSE)</f>
        <v>29388</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0.66669999999999996</v>
      </c>
      <c r="D32" s="33"/>
      <c r="E32" s="29"/>
      <c r="F32" s="29"/>
      <c r="G32" s="29"/>
      <c r="H32" s="29"/>
      <c r="I32" s="29"/>
      <c r="J32" s="29"/>
    </row>
    <row r="33" spans="1:10" ht="11.25" customHeight="1" x14ac:dyDescent="0.2">
      <c r="A33" s="24"/>
      <c r="B33" s="52" t="s">
        <v>323</v>
      </c>
      <c r="C33" s="70">
        <f>VLOOKUP(A3,Data!A1:CM89,15,FALSE)</f>
        <v>0.54549999999999998</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6.7599999999999993E-2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9.5899999999999999E-2</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0.1789</v>
      </c>
      <c r="D56" s="33"/>
      <c r="E56" s="29"/>
      <c r="F56" s="29"/>
      <c r="G56" s="29"/>
      <c r="H56" s="29"/>
      <c r="I56" s="29"/>
      <c r="J56" s="29"/>
    </row>
    <row r="57" spans="1:10" ht="11.25" customHeight="1" x14ac:dyDescent="0.2">
      <c r="A57" s="24"/>
      <c r="B57" s="52" t="s">
        <v>323</v>
      </c>
      <c r="C57" s="70">
        <f>VLOOKUP(A3,Data!A1:CM89,24,FALSE)</f>
        <v>0.19189999999999999</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0.3846</v>
      </c>
      <c r="D64" s="33"/>
      <c r="E64" s="29"/>
      <c r="F64" s="29"/>
      <c r="G64" s="29"/>
      <c r="H64" s="29"/>
      <c r="I64" s="29"/>
      <c r="J64" s="29"/>
    </row>
    <row r="65" spans="1:10" ht="11.25" customHeight="1" x14ac:dyDescent="0.2">
      <c r="A65" s="24"/>
      <c r="B65" s="52" t="s">
        <v>323</v>
      </c>
      <c r="C65" s="70">
        <f>VLOOKUP(A3,Data!A1:CM89,27,FALSE)</f>
        <v>0.4118</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0</v>
      </c>
      <c r="C68" s="26" t="str">
        <f>IF(B68=0,"Does not meet prior year’s state performance and did not improve",
IF(B68=1,"Does not meet prior year’s state performance but improved since last year",
IF(B68=2,"Meets or exceeds prior year’s state performance",
IF(B68=3,"Meets or exceeds current state target",""))))</f>
        <v>Does not meet prior year’s state performance and did not improve</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0.10100000000000001</v>
      </c>
      <c r="D72" s="33"/>
      <c r="E72" s="29"/>
      <c r="F72" s="29"/>
      <c r="G72" s="29"/>
      <c r="H72" s="29"/>
      <c r="I72" s="29"/>
      <c r="J72" s="29"/>
    </row>
    <row r="73" spans="1:10" ht="11.25" customHeight="1" x14ac:dyDescent="0.2">
      <c r="A73" s="24"/>
      <c r="B73" s="52" t="s">
        <v>323</v>
      </c>
      <c r="C73" s="70">
        <f>VLOOKUP(A3,Data!A1:CM89,30,FALSE)</f>
        <v>0.1163</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0.29599999999999999</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5</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5</v>
      </c>
      <c r="C87" s="51">
        <f>SUM(A87:B87)</f>
        <v>26</v>
      </c>
      <c r="D87" s="80">
        <f>VLOOKUP(A3,Data!A1:CM89,91,FALSE)</f>
        <v>42</v>
      </c>
      <c r="E87" s="51">
        <f>VLOOKUP(A3,Data!A1:CM89,34,FALSE)</f>
        <v>2</v>
      </c>
      <c r="F87" s="42">
        <f>SUM(A87,B87,E87)/D87</f>
        <v>0.66666666666666663</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2022-12-06T17:56:01Z</dcterms:modified>
</cp:coreProperties>
</file>