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yOGzRMgq57dx9JuFDNb6ldxtnTjZIWvMeh6Zx9G4xFlMyhQCHz3di6OjTH0qTYPJB5VIeEKmtc75csjKI69Xpw==" workbookSaltValue="iUPxc1oxHioj9gt0sJ3at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<sst xmlns="http://schemas.openxmlformats.org/spreadsheetml/2006/main" count="2178" uniqueCount="508">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</sst>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0.88890000000000002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0.95830000000000004</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0.74070000000000003</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0.3</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0.88890000000000002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0.73809999999999998</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0.75680000000000003</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0.75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0.8679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0.83779999999999999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0.90569999999999995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6.9000000000000006E-2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0.3478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3.0300000000000001E-2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0.16669999999999999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0.33329999999999999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0.66669999999999996</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0.75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7.2999999999999995E-2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0.1847</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0.31080000000000002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1.8200000000000001E-2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6.93E-2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0.15629999999999999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0.60980000000000001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0.18290000000000001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0.33329999999999999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0.4</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2.9600000000000001E-2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0.83330000000000004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3.6999999999999998E-2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0.2</c:v>
                </c:pt>
                <c:pt idx="3">
                  <c:v>0</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1.6400000000000001E-2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0.24690000000000001</c:v>
                </c:pt>
                <c:pt idx="3">
                  <c:v>0.18290000000000001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0.27360000000000001</c:v>
                </c:pt>
                <c:pt idx="3">
                  <c:v>8.8599999999999998E-2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5.7000000000000002E-2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99</v>
      </c>
      <c r="B3" s="45"/>
      <c r="C3" s="45"/>
      <c r="D3" s="45"/>
      <c r="E3" s="45"/>
      <c r="F3" s="45"/>
      <c r="G3" s="45"/>
      <c r="H3" s="45"/>
      <c r="I3" s="45"/>
      <c r="J3" s="45"/>
      <c r="K3" s="45"/>
      <c r="L3" s="45"/>
      <c r="M3" s="45"/>
      <c r="N3" s="45"/>
      <c r="O3" s="13"/>
      <c r="T3" s="59"/>
      <c r="U3" s="59"/>
    </row>
    <row r="4" spans="1:21" s="12" customFormat="1" ht="11.25" x14ac:dyDescent="0.2">
      <c r="A4" s="16" t="str">
        <f>+VLOOKUP(A3,Data!A1:CM89,2,FALSE)</f>
        <v>500 North Academy Street</v>
      </c>
      <c r="B4" s="16"/>
      <c r="C4" s="15"/>
      <c r="D4" s="16"/>
      <c r="E4" s="15"/>
      <c r="F4" s="15"/>
      <c r="G4" s="16"/>
      <c r="H4" s="16"/>
      <c r="I4" s="16"/>
      <c r="J4" s="16"/>
      <c r="K4" s="11"/>
      <c r="L4" s="11"/>
      <c r="T4" s="11"/>
      <c r="U4" s="11"/>
    </row>
    <row r="5" spans="1:21" s="12" customFormat="1" ht="11.25" x14ac:dyDescent="0.2">
      <c r="A5" s="16" t="str">
        <f>+VLOOKUP(A3,Data!A1:CM89,3,FALSE)</f>
        <v>Kingstree</v>
      </c>
      <c r="B5" s="16"/>
      <c r="C5" s="15"/>
      <c r="D5" s="16"/>
      <c r="E5" s="15"/>
      <c r="F5" s="15"/>
      <c r="G5" s="15" t="str">
        <f>+VLOOKUP(A3,Data!A1:CM89,4,FALSE)</f>
        <v>SC</v>
      </c>
      <c r="H5" s="15"/>
      <c r="I5" s="15">
        <f>+VLOOKUP(A3,Data!A1:CM89,5,FALSE)</f>
        <v>29556</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0.2</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0.4</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0.73809999999999998</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0.75680000000000003</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0.8679</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0.83330000000000004</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0.83779999999999999</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0.90569999999999995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6.9000000000000006E-2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0.3478</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3.0300000000000001E-2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0.16669999999999999</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0.33329999999999999</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0.66669999999999996</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0.75</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7.2999999999999995E-2</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0.1847</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0.31080000000000002</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1.8200000000000001E-2</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6.93E-2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0.15629999999999999</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Yes</v>
      </c>
      <c r="H92" s="83" t="s">
        <v>1</v>
      </c>
      <c r="I92" s="86" t="str">
        <f t="shared" ref="I92" si="1">IF(OR(G92="NA",G92="**"),"NA",IF(G92="No","Met",IF(G92="Yes","Not Met")))</f>
        <v>Not 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Yes</v>
      </c>
      <c r="H95" s="83" t="s">
        <v>1</v>
      </c>
      <c r="I95" s="86" t="str">
        <f>IF(OR(G95="NA",G95="**"),"NA",IF(G95="No","Met",IF(G95="Yes","Not Met")))</f>
        <v>Not 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0.60980000000000001</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0.18290000000000001</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2.9600000000000001E-2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1</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0.75</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0.88890000000000002</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0.95830000000000004</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0.74070000000000003</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0.88890000000000002</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Yes</v>
      </c>
      <c r="H171" s="83" t="s">
        <v>1</v>
      </c>
      <c r="I171" s="86" t="str">
        <f>IF(OR(G171="NA",G171="**"),"NA",IF(G171="No","Met",IF(G171="Yes","Not Met")))</f>
        <v>Not 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1</v>
      </c>
      <c r="H175" s="83" t="s">
        <v>1</v>
      </c>
      <c r="I175" s="86" t="str">
        <f>IF(OR(G175="NA",G175="**"),"NA",IF(G175&lt;C175,"Not Met","Met"))</f>
        <v>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0.3</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0.33329999999999999</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Williamsburg</v>
      </c>
      <c r="B3" s="45"/>
      <c r="C3" s="45"/>
      <c r="D3" s="45"/>
      <c r="E3" s="45"/>
      <c r="F3" s="45"/>
      <c r="G3" s="45"/>
      <c r="H3" s="13"/>
      <c r="I3" s="13"/>
      <c r="J3" s="13"/>
    </row>
    <row r="4" spans="1:10" x14ac:dyDescent="0.2">
      <c r="A4" s="16" t="str">
        <f>VLOOKUP(A3,Data!A1:CM89,2,FALSE)</f>
        <v>500 North Academy Street</v>
      </c>
      <c r="B4" s="16"/>
      <c r="C4" s="16"/>
      <c r="D4" s="16"/>
      <c r="E4" s="16"/>
      <c r="F4" s="11"/>
      <c r="G4" s="11"/>
    </row>
    <row r="5" spans="1:10" x14ac:dyDescent="0.2">
      <c r="A5" s="16" t="str">
        <f>VLOOKUP(A3,Data!A1:CM89,3,FALSE)</f>
        <v>Kingstree</v>
      </c>
      <c r="B5" s="16"/>
      <c r="C5" s="15" t="str">
        <f>VLOOKUP(A3,Data!A1:CM89,4,FALSE)</f>
        <v>SC</v>
      </c>
      <c r="D5" s="15">
        <f>VLOOKUP(A3,Data!A1:CM89,5,FALSE)</f>
        <v>29556</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2</v>
      </c>
      <c r="C13" s="107" t="str">
        <f>IF(B13=0,"High risk with systemic fiscal findings",
IF(B13=1,"High risk based on fiscal risk factors",
IF(B13=2,"Moderate risk based on fiscal risk factors",
IF(B13=3,"Low risk based on fiscal risk factors",""))))</f>
        <v>Moderate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1</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Two areas that were not corrected within a year or one area not corrected within two years</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0</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Below 85% combined compliance rate for Indicators 11 and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15</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0.2</v>
      </c>
      <c r="D32" s="33"/>
      <c r="E32" s="29"/>
      <c r="F32" s="29"/>
      <c r="G32" s="29"/>
      <c r="H32" s="29"/>
      <c r="I32" s="29"/>
      <c r="J32" s="29"/>
    </row>
    <row r="33" spans="1:10" ht="11.25" customHeight="1" x14ac:dyDescent="0.2">
      <c r="A33" s="24"/>
      <c r="B33" s="52" t="s">
        <v>323</v>
      </c>
      <c r="C33" s="70">
        <f>VLOOKUP(A3,Data!A1:CM89,15,FALSE)</f>
        <v>0</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3.6999999999999998E-2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1.6400000000000001E-2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1</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but improved since last year</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0.24690000000000001</v>
      </c>
      <c r="D56" s="33"/>
      <c r="E56" s="29"/>
      <c r="F56" s="29"/>
      <c r="G56" s="29"/>
      <c r="H56" s="29"/>
      <c r="I56" s="29"/>
      <c r="J56" s="29"/>
    </row>
    <row r="57" spans="1:10" ht="11.25" customHeight="1" x14ac:dyDescent="0.2">
      <c r="A57" s="24"/>
      <c r="B57" s="52" t="s">
        <v>323</v>
      </c>
      <c r="C57" s="70">
        <f>VLOOKUP(A3,Data!A1:CM89,24,FALSE)</f>
        <v>0.18290000000000001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0.27360000000000001</v>
      </c>
      <c r="D72" s="33"/>
      <c r="E72" s="29"/>
      <c r="F72" s="29"/>
      <c r="G72" s="29"/>
      <c r="H72" s="29"/>
      <c r="I72" s="29"/>
      <c r="J72" s="29"/>
    </row>
    <row r="73" spans="1:10" ht="11.25" customHeight="1" x14ac:dyDescent="0.2">
      <c r="A73" s="24"/>
      <c r="B73" s="52" t="s">
        <v>323</v>
      </c>
      <c r="C73" s="70">
        <f>VLOOKUP(A3,Data!A1:CM89,30,FALSE)</f>
        <v>8.8599999999999998E-2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5.7000000000000002E-2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15</v>
      </c>
      <c r="B87" s="51">
        <f>B83</f>
        <v>10</v>
      </c>
      <c r="C87" s="51">
        <f>SUM(A87:B87)</f>
        <v>25</v>
      </c>
      <c r="D87" s="80">
        <f>VLOOKUP(A3,Data!A1:CM89,91,FALSE)</f>
        <v>42</v>
      </c>
      <c r="E87" s="51">
        <f>VLOOKUP(A3,Data!A1:CM89,34,FALSE)</f>
        <v>0</v>
      </c>
      <c r="F87" s="42">
        <f>SUM(A87,B87,E87)/D87</f>
        <v>0.59523809523809523</v>
      </c>
      <c r="G87" s="79" t="str">
        <f>IF(F87&gt;=0.8,"Meets Requirement",IF(F87&gt;=0.6,"Needs Assistance",IF(F87&gt;=0.3,"Needs Intervention",IF(F87&lt;0.3,"Needs Substantial Intervention","NA"))))</f>
        <v>Needs Intervention</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2022-12-06T17:56:07Z</dcterms:modified>
</cp:coreProperties>
</file>