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hWHxIbK2l87UcN0dnNHsSc+a0txrU8RrF0BmjEjpKkSecEQO62SObcUEPu2fLSoXf9N1n8XrCBiVmGSvCRa0MA==" workbookSaltValue="uRyJ7wOc9dX5ja0AKD5F9g=="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<sst xmlns="http://schemas.openxmlformats.org/spreadsheetml/2006/main" count="2178" uniqueCount="508">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</sst>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0.8095</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0.75</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2.3800000000000002E-2</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5.8000000000000003E-2</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2.3800000000000002E-2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0.8548</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0.67330000000000001</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0.89839999999999998</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0.66669999999999996</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0.88119999999999998</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0.56410000000000005</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0.66669999999999996</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0.72</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0.87780000000000002</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0.77290000000000003</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0.96879999999999999</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0.75360000000000005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0.95599999999999996</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0.16139999999999999</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4.0800000000000003E-2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0.43409999999999999</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0.1454</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4.2000000000000003E-2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0.24709999999999999</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0.28570000000000001</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0.23080000000000001</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1</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0.1429</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0.53849999999999998</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0.29970000000000002</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0.32490000000000002</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0.376</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0.27610000000000001</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0.21199999999999999</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0.2354</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0.65529999999999999</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0.10970000000000001</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0.77959999999999996</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4.2599999999999999E-2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0.51060000000000005</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0.8085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0.34649999999999997</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0.6139</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5.4999999999999997E-3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0.89259999999999995</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0.1135</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0.6139</c:v>
                </c:pt>
                <c:pt idx="3">
                  <c:v>0.49440000000000001</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0.10539999999999999</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9.98E-2</c:v>
                </c:pt>
                <c:pt idx="3">
                  <c:v>0.10970000000000001</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7.4000000000000003E-3</c:v>
                </c:pt>
                <c:pt idx="3">
                  <c:v>3.8199999999999998E-2</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0.15049999999999999</c:v>
                </c:pt>
                <c:pt idx="3">
                  <c:v>6.0699999999999997E-2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0.13500000000000001</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102</v>
      </c>
      <c r="B3" s="45"/>
      <c r="C3" s="45"/>
      <c r="D3" s="45"/>
      <c r="E3" s="45"/>
      <c r="F3" s="45"/>
      <c r="G3" s="45"/>
      <c r="H3" s="45"/>
      <c r="I3" s="45"/>
      <c r="J3" s="45"/>
      <c r="K3" s="45"/>
      <c r="L3" s="45"/>
      <c r="M3" s="45"/>
      <c r="N3" s="45"/>
      <c r="O3" s="13"/>
      <c r="T3" s="59"/>
      <c r="U3" s="59"/>
    </row>
    <row r="4" spans="1:21" s="12" customFormat="1" ht="11.25" x14ac:dyDescent="0.2">
      <c r="A4" s="16" t="str">
        <f>+VLOOKUP(A3,Data!A1:CM89,2,FALSE)</f>
        <v>386 East Black Street</v>
      </c>
      <c r="B4" s="16"/>
      <c r="C4" s="15"/>
      <c r="D4" s="16"/>
      <c r="E4" s="15"/>
      <c r="F4" s="15"/>
      <c r="G4" s="16"/>
      <c r="H4" s="16"/>
      <c r="I4" s="16"/>
      <c r="J4" s="16"/>
      <c r="K4" s="11"/>
      <c r="L4" s="11"/>
      <c r="T4" s="11"/>
      <c r="U4" s="11"/>
    </row>
    <row r="5" spans="1:21" s="12" customFormat="1" ht="11.25" x14ac:dyDescent="0.2">
      <c r="A5" s="16" t="str">
        <f>+VLOOKUP(A3,Data!A1:CM89,3,FALSE)</f>
        <v>Rock Hill</v>
      </c>
      <c r="B5" s="16"/>
      <c r="C5" s="15"/>
      <c r="D5" s="16"/>
      <c r="E5" s="15"/>
      <c r="F5" s="15"/>
      <c r="G5" s="15" t="str">
        <f>+VLOOKUP(A3,Data!A1:CM89,4,FALSE)</f>
        <v>SC</v>
      </c>
      <c r="H5" s="15"/>
      <c r="I5" s="15">
        <f>+VLOOKUP(A3,Data!A1:CM89,5,FALSE)</f>
        <v>29731</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0.6139</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0.34649999999999997</v>
      </c>
      <c r="H15" s="83" t="s">
        <v>1</v>
      </c>
      <c r="I15" s="86" t="str">
        <f>IF(OR(G15="NA",G15="**"),"NA",IF(G15&gt;C15,"Not Met","Met"))</f>
        <v>Not 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0.87780000000000002</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0.77290000000000003</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0.96879999999999999</v>
      </c>
      <c r="H25" s="83" t="s">
        <v>1</v>
      </c>
      <c r="I25" s="86" t="str">
        <f>IF(OR(G25="NA",G25="**"),"NA",IF(G25&lt;C25,"Not Met","Met"))</f>
        <v>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0.89259999999999995</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0.75360000000000005</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0.95599999999999996</v>
      </c>
      <c r="H34" s="83" t="s">
        <v>1</v>
      </c>
      <c r="I34" s="86" t="str">
        <f>IF(OR(G34="NA",G34="**"),"NA",IF(G34&lt;C34,"Not Met","Met"))</f>
        <v>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0.16139999999999999</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4.0800000000000003E-2</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0.43409999999999999</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0.1454</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4.2000000000000003E-2</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0.24709999999999999</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0.28570000000000001</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0.23080000000000001</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1</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0.1429</v>
      </c>
      <c r="H64" s="83" t="s">
        <v>1</v>
      </c>
      <c r="I64" s="86" t="str">
        <f>IF(OR(G64="NA",G64="**"),"NA",IF(G64&lt;C64,"Not Met","Met"))</f>
        <v>Not 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0.53849999999999998</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0.29970000000000002</v>
      </c>
      <c r="H73" s="83" t="s">
        <v>1</v>
      </c>
      <c r="I73" s="86" t="str">
        <f>IF(OR(G73="NA",G73="**"),"NA",IF(G73&gt;C73,"Not Met","Met"))</f>
        <v>Not 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0.32490000000000002</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0.376</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0.27610000000000001</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0.21199999999999999</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0.2354</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0.65529999999999999</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0.10970000000000001</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5.4999999999999997E-3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0.8095</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0.66669999999999996</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0.75</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2.3800000000000002E-2</v>
      </c>
      <c r="H118" s="83" t="s">
        <v>1</v>
      </c>
      <c r="I118" s="86" t="str">
        <f>IF(OR(G118="NA",G118="**"),"NA",IF(G118&gt;C118,"Not Met","Met"))</f>
        <v>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5.8000000000000003E-2</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v>
      </c>
      <c r="H124" s="83" t="s">
        <v>1</v>
      </c>
      <c r="I124" s="86" t="str">
        <f>IF(OR(G124="NA",G124="**"),"NA",IF(G124&gt;C124,"Not Met","Met"))</f>
        <v>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2.3800000000000002E-2</v>
      </c>
      <c r="H127" s="83" t="s">
        <v>1</v>
      </c>
      <c r="I127" s="86" t="str">
        <f>IF(OR(G127="NA",G127="**"),"NA",IF(G127&gt;C127,"Not Met","Met"))</f>
        <v>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0</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f>VLOOKUP(A3,Data!A1:CM89,74,FALSE)</f>
        <v>0</v>
      </c>
      <c r="H133" s="83" t="s">
        <v>1</v>
      </c>
      <c r="I133" s="86" t="str">
        <f>IF(OR(G133="NA",G133="**"),"NA",IF(G133&gt;C133,"Not Met","Met"))</f>
        <v>Met</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0.8548</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0.67330000000000001</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0.89839999999999998</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0.66669999999999996</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0.88119999999999998</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0.72</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t="str">
        <f>VLOOKUP(A3,Data!A1:CM89,81,FALSE)</f>
        <v>NA</v>
      </c>
      <c r="H162" s="83" t="s">
        <v>1</v>
      </c>
      <c r="I162" s="86" t="str">
        <f t="shared" ref="I162" si="4">IF(OR(G162="NA",G162="**"),"NA",IF(G162&lt;C162,"Not Met","Met"))</f>
        <v>NA</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0.77959999999999996</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0.56410000000000005</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4.2599999999999999E-2</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0.51060000000000005</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0.8085</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York 3</v>
      </c>
      <c r="B3" s="45"/>
      <c r="C3" s="45"/>
      <c r="D3" s="45"/>
      <c r="E3" s="45"/>
      <c r="F3" s="45"/>
      <c r="G3" s="45"/>
      <c r="H3" s="13"/>
      <c r="I3" s="13"/>
      <c r="J3" s="13"/>
    </row>
    <row r="4" spans="1:10" x14ac:dyDescent="0.2">
      <c r="A4" s="16" t="str">
        <f>VLOOKUP(A3,Data!A1:CM89,2,FALSE)</f>
        <v>386 East Black Street</v>
      </c>
      <c r="B4" s="16"/>
      <c r="C4" s="16"/>
      <c r="D4" s="16"/>
      <c r="E4" s="16"/>
      <c r="F4" s="11"/>
      <c r="G4" s="11"/>
    </row>
    <row r="5" spans="1:10" x14ac:dyDescent="0.2">
      <c r="A5" s="16" t="str">
        <f>VLOOKUP(A3,Data!A1:CM89,3,FALSE)</f>
        <v>Rock Hill</v>
      </c>
      <c r="B5" s="16"/>
      <c r="C5" s="15" t="str">
        <f>VLOOKUP(A3,Data!A1:CM89,4,FALSE)</f>
        <v>SC</v>
      </c>
      <c r="D5" s="15">
        <f>VLOOKUP(A3,Data!A1:CM89,5,FALSE)</f>
        <v>29731</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2</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 xml:space="preserve">95% or above combined compliance rate for Indicators 11 and 12 </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20</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0.6139</v>
      </c>
      <c r="D32" s="33"/>
      <c r="E32" s="29"/>
      <c r="F32" s="29"/>
      <c r="G32" s="29"/>
      <c r="H32" s="29"/>
      <c r="I32" s="29"/>
      <c r="J32" s="29"/>
    </row>
    <row r="33" spans="1:10" ht="11.25" customHeight="1" x14ac:dyDescent="0.2">
      <c r="A33" s="24"/>
      <c r="B33" s="52" t="s">
        <v>323</v>
      </c>
      <c r="C33" s="70">
        <f>VLOOKUP(A3,Data!A1:CM89,15,FALSE)</f>
        <v>0.49440000000000001</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0.1135</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0.10539999999999999</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9.98E-2</v>
      </c>
      <c r="D56" s="33"/>
      <c r="E56" s="29"/>
      <c r="F56" s="29"/>
      <c r="G56" s="29"/>
      <c r="H56" s="29"/>
      <c r="I56" s="29"/>
      <c r="J56" s="29"/>
    </row>
    <row r="57" spans="1:10" ht="11.25" customHeight="1" x14ac:dyDescent="0.2">
      <c r="A57" s="24"/>
      <c r="B57" s="52" t="s">
        <v>323</v>
      </c>
      <c r="C57" s="70">
        <f>VLOOKUP(A3,Data!A1:CM89,24,FALSE)</f>
        <v>0.10970000000000001</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7.4000000000000003E-3</v>
      </c>
      <c r="D64" s="33"/>
      <c r="E64" s="29"/>
      <c r="F64" s="29"/>
      <c r="G64" s="29"/>
      <c r="H64" s="29"/>
      <c r="I64" s="29"/>
      <c r="J64" s="29"/>
    </row>
    <row r="65" spans="1:10" ht="11.25" customHeight="1" x14ac:dyDescent="0.2">
      <c r="A65" s="24"/>
      <c r="B65" s="52" t="s">
        <v>323</v>
      </c>
      <c r="C65" s="70">
        <f>VLOOKUP(A3,Data!A1:CM89,27,FALSE)</f>
        <v>3.8199999999999998E-2</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0.15049999999999999</v>
      </c>
      <c r="D72" s="33"/>
      <c r="E72" s="29"/>
      <c r="F72" s="29"/>
      <c r="G72" s="29"/>
      <c r="H72" s="29"/>
      <c r="I72" s="29"/>
      <c r="J72" s="29"/>
    </row>
    <row r="73" spans="1:10" ht="11.25" customHeight="1" x14ac:dyDescent="0.2">
      <c r="A73" s="24"/>
      <c r="B73" s="52" t="s">
        <v>323</v>
      </c>
      <c r="C73" s="70">
        <f>VLOOKUP(A3,Data!A1:CM89,30,FALSE)</f>
        <v>6.0699999999999997E-2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0.13500000000000001</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12</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20</v>
      </c>
      <c r="B87" s="51">
        <f>B83</f>
        <v>12</v>
      </c>
      <c r="C87" s="51">
        <f>SUM(A87:B87)</f>
        <v>32</v>
      </c>
      <c r="D87" s="80">
        <f>VLOOKUP(A3,Data!A1:CM89,91,FALSE)</f>
        <v>42</v>
      </c>
      <c r="E87" s="51">
        <f>VLOOKUP(A3,Data!A1:CM89,34,FALSE)</f>
        <v>0</v>
      </c>
      <c r="F87" s="42">
        <f>SUM(A87,B87,E87)/D87</f>
        <v>0.76190476190476186</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2022-12-06T17:56:09Z</dcterms:modified>
</cp:coreProperties>
</file>