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B06F0024-4397-4B88-9CAA-84AA5F5F4A80}" xr6:coauthVersionLast="47" xr6:coauthVersionMax="47" xr10:uidLastSave="{00000000-0000-0000-0000-000000000000}"/>
  <workbookProtection workbookAlgorithmName="SHA-512" workbookHashValue="TF9zmJNMgxSiIm2YfLOKkmu2d2uPLlVMtuE5TtZHZX/6+7w0JOg6bpeb5OW7Km9dnk76v+SePg9lN9C62h/JMQ==" workbookSaltValue="OwmV4TgXsaRQFZKRmJ+iwg=="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<sst xmlns="http://schemas.openxmlformats.org/spreadsheetml/2006/main" count="2581" uniqueCount="605">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</sst>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0.33329999999999999</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0.52629999999999999</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0.94740000000000002</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0.3947</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0.91669999999999996</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0.85709999999999997</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0.33329999999999999</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0.65790000000000004</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0.92857142857142905</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1</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0.94444444444444398</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0.92857142857142905</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0.36666666666666697</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4.3478260869565202E-2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0.63636363636363602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0.3</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0.217391304347826</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0.75</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1</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0.625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0.33333333333333298</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0.33333333333333298</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1</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0.66666666666666696</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0.5</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0.23924466338259401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0.43687108410860098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0.28229665071770299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0.212315270935961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0.206189481678375</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0.14655172413793099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0.64829999999999999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7.8700000000000006E-2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0.33329999999999999</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0.33329999999999999</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0.4</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0.45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0.25</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7.9000000000000008E-3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0.25</c:v>
                </c:pt>
                <c:pt idx="3">
                  <c:v>0.42420000000000002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0.33329999999999999</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0.45</c:v>
                </c:pt>
                <c:pt idx="3">
                  <c:v>0.70830000000000004</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0.24390000000000001</c:v>
                </c:pt>
                <c:pt idx="3">
                  <c:v>0.36359999999999998</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0.72750000000000004</c:v>
                </c:pt>
                <c:pt idx="3">
                  <c:v>0.64829999999999999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0.13489999999999999</c:v>
                </c:pt>
                <c:pt idx="3">
                  <c:v>0.13919999999999999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0.27300000000000002</c:v>
                </c:pt>
                <c:pt idx="3">
                  <c:v>0.23799999999999999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0.18179999999999999</c:v>
                </c:pt>
                <c:pt idx="3">
                  <c:v>7.6899999999999996E-2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0.125</c:v>
                </c:pt>
                <c:pt idx="3">
                  <c:v>0.26919999999999999</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0.25</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0.84209999999999996</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22</v>
      </c>
      <c r="B3" s="36"/>
      <c r="C3" s="36"/>
      <c r="D3" s="36"/>
      <c r="E3" s="36"/>
      <c r="F3" s="36"/>
      <c r="G3" s="36"/>
      <c r="H3" s="36"/>
      <c r="I3" s="36"/>
      <c r="J3" s="36"/>
      <c r="K3" s="36"/>
      <c r="L3" s="36"/>
      <c r="M3" s="36"/>
      <c r="N3" s="36"/>
      <c r="O3" s="10"/>
    </row>
    <row r="4" spans="1:20" s="9" customFormat="1" ht="11.25" x14ac:dyDescent="0.2">
      <c r="A4" s="9" t="str">
        <f>+VLOOKUP(A3,'Old Data'!A1:CM88,2,FALSE)</f>
        <v>400 Greenville St</v>
      </c>
      <c r="C4" s="12"/>
      <c r="E4" s="12"/>
      <c r="F4" s="12"/>
    </row>
    <row r="5" spans="1:20" s="9" customFormat="1" ht="11.25" x14ac:dyDescent="0.2">
      <c r="A5" s="9" t="str">
        <f>+VLOOKUP(A3,'Old Data'!A1:CM88,3,FALSE)</f>
        <v>Abbeville</v>
      </c>
      <c r="C5" s="12"/>
      <c r="E5" s="12"/>
      <c r="F5" s="12"/>
      <c r="G5" s="12" t="str">
        <f>+VLOOKUP(A3,'Old Data'!A1:CM88,4,FALSE)</f>
        <v>SC</v>
      </c>
      <c r="H5" s="12"/>
      <c r="I5" s="12">
        <f>+VLOOKUP(A3,'Old Data'!A1:CM88,5,FALSE)</f>
        <v>29620</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0.45</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0.4</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0.92857142857142905</v>
      </c>
      <c r="H22" s="66" t="s">
        <v>1</v>
      </c>
      <c r="I22" s="11" t="str">
        <f>IF(OR(G22="NA",G22="**"),"NA",IF(G22&lt;C22,"Not Met","Met"))</f>
        <v>Not 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0.94444444444444398</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0.92857142857142905</v>
      </c>
      <c r="H31" s="66" t="s">
        <v>1</v>
      </c>
      <c r="I31" s="11" t="str">
        <f>IF(OR(G31="NA",G31="**"),"NA",IF(G31&lt;C31,"Not Met","Met"))</f>
        <v>Not 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1</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0.36666666666666697</v>
      </c>
      <c r="H37" s="66" t="s">
        <v>1</v>
      </c>
      <c r="I37" s="11" t="str">
        <f>IF(OR(G37="NA",G37="**"),"NA",IF(G37&lt;C37,"Not Met","Met"))</f>
        <v>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4.3478260869565202E-2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0.63636363636363602</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0.3</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0.217391304347826</v>
      </c>
      <c r="H49" s="66" t="s">
        <v>1</v>
      </c>
      <c r="I49" s="11" t="str">
        <f>IF(OR(G49="NA",G49="**"),"NA",IF(G49&lt;C49,"Not Met","Met"))</f>
        <v>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0.75</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1</v>
      </c>
      <c r="H55" s="66" t="s">
        <v>1</v>
      </c>
      <c r="I55" s="11" t="str">
        <f>IF(OR(G55="NA",G55="**"),"NA",IF(G55&lt;C55,"Not Met","Met"))</f>
        <v>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0.33333333333333298</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0.33333333333333298</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1</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0.66666666666666696</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0.5</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0.23924466338259401</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0.43687108410860098</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0.28229665071770299</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0.212315270935961</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0.206189481678375</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0.14655172413793099</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0.64829999999999999</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7.8700000000000006E-2</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7.9000000000000008E-3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0.33329999999999999</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0.33329999999999999</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1</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0.625</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t="str">
        <f>VLOOKUP(A3,'Old Data'!A1:CM88,70,FALSE)</f>
        <v>NA</v>
      </c>
      <c r="H121" s="66" t="s">
        <v>1</v>
      </c>
      <c r="I121" s="11" t="str">
        <f>IF(OR(G121="NA",G121="**"),"NA",IF(G121&gt;C121,"Not Met","Met"))</f>
        <v>NA</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0.25</v>
      </c>
      <c r="H124" s="66" t="s">
        <v>1</v>
      </c>
      <c r="I124" s="11" t="str">
        <f>IF(OR(G124="NA",G124="**"),"NA",IF(G124&gt;C124,"Not Met","Met"))</f>
        <v>Not 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0.33329999999999999</v>
      </c>
      <c r="H127" s="66" t="s">
        <v>1</v>
      </c>
      <c r="I127" s="11" t="str">
        <f>IF(OR(G127="NA",G127="**"),"NA",IF(G127&gt;C127,"Not Met","Met"))</f>
        <v>Not 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0.25</v>
      </c>
      <c r="H130" s="66" t="s">
        <v>1</v>
      </c>
      <c r="I130" s="11" t="str">
        <f>IF(OR(G130="NA",G130="**"),"NA",IF(G130&gt;C130,"Not Met","Met"))</f>
        <v>Not 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0.84209999999999996</v>
      </c>
      <c r="H138" s="66" t="s">
        <v>1</v>
      </c>
      <c r="I138" s="11" t="str">
        <f t="shared" si="3"/>
        <v>Not 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0.52629999999999999</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0.94740000000000002</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0.3947</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0.91669999999999996</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0.65790000000000004</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0.85709999999999997</v>
      </c>
      <c r="H180" s="66" t="s">
        <v>1</v>
      </c>
      <c r="I180" s="11" t="str">
        <f t="shared" si="3"/>
        <v>Not 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v>
      </c>
      <c r="H189" s="66" t="s">
        <v>1</v>
      </c>
      <c r="I189" s="11" t="str">
        <f t="shared" ref="I189" si="6">IF(OR(G189="NA",G189="**"),"NA",IF(G189&lt;C189,"Not Met","Met"))</f>
        <v>Not 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0.33329999999999999</v>
      </c>
      <c r="H193" s="66" t="s">
        <v>1</v>
      </c>
      <c r="I193" s="11" t="str">
        <f>IF(OR(G193="NA",G193="**"),"NA",IF(G193&lt;C193,"Not Met","Met"))</f>
        <v>Not 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0.33329999999999999</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m/BqGnemhHuXKpgEonZyIw+zo+hZhZhKC3mdZv+8qS+S76TgK6M1F285TeKR9LaCdcB2jm60dY74bzNYrFKYbw==" saltValue="REXcrpuibXw3aYCPWEddwg=="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22</v>
      </c>
      <c r="B3" s="36"/>
      <c r="C3" s="36"/>
      <c r="D3" s="36"/>
      <c r="E3" s="36"/>
      <c r="F3" s="36"/>
      <c r="G3" s="36"/>
      <c r="H3" s="10"/>
      <c r="I3" s="10"/>
      <c r="J3" s="10"/>
    </row>
    <row r="4" spans="1:10" x14ac:dyDescent="0.2">
      <c r="A4" s="9" t="str">
        <f>VLOOKUP(A3,Data!A1:AQ88,2,FALSE)</f>
        <v>400 Greenville St</v>
      </c>
    </row>
    <row r="5" spans="1:10" x14ac:dyDescent="0.2">
      <c r="A5" s="9" t="str">
        <f>VLOOKUP(A3,Data!A1:AQ88,3,FALSE)</f>
        <v>Abbeville</v>
      </c>
      <c r="C5" s="12" t="str">
        <f>VLOOKUP(A3,Data!A1:AQ88,4,FALSE)</f>
        <v>SC</v>
      </c>
      <c r="D5" s="12">
        <f>VLOOKUP(A3,Data!A1:AQ88,5,FALSE)</f>
        <v>29620</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1</v>
      </c>
      <c r="C20" s="92" t="str">
        <f>IF(B20=0,"2 or more consecutive years of findings of non-compliance (current year and previous year(s))",
IF(B20=1,"Findings of non-compliance in the current year",
IF(B20=2,"No findings of non-compliance","")))</f>
        <v>Findings of non-compliance in the current year</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3</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current state target</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0.45</v>
      </c>
      <c r="E34" s="23"/>
      <c r="F34" s="23"/>
      <c r="G34" s="23"/>
      <c r="H34" s="23"/>
      <c r="I34" s="23"/>
      <c r="J34" s="23"/>
    </row>
    <row r="35" spans="1:10" ht="11.25" customHeight="1" x14ac:dyDescent="0.2">
      <c r="A35" s="19"/>
      <c r="B35" s="43" t="s">
        <v>466</v>
      </c>
      <c r="C35" s="56">
        <f>VLOOKUP(A3,Data!A1:AQ88,17,FALSE)</f>
        <v>0.70830000000000004</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current state target</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0.25</v>
      </c>
      <c r="E42" s="23"/>
      <c r="F42" s="23"/>
      <c r="G42" s="23"/>
      <c r="H42" s="23"/>
      <c r="I42" s="23"/>
      <c r="J42" s="23"/>
    </row>
    <row r="43" spans="1:10" ht="11.25" customHeight="1" x14ac:dyDescent="0.2">
      <c r="A43" s="19"/>
      <c r="B43" s="43" t="s">
        <v>466</v>
      </c>
      <c r="C43" s="56">
        <f>VLOOKUP(A3,Data!A1:AQ88,20,FALSE)</f>
        <v>0.42420000000000002</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0.18179999999999999</v>
      </c>
      <c r="E50" s="23"/>
      <c r="F50" s="23"/>
      <c r="G50" s="23"/>
      <c r="H50" s="23"/>
      <c r="I50" s="23"/>
      <c r="J50" s="23"/>
    </row>
    <row r="51" spans="1:10" ht="11.25" customHeight="1" x14ac:dyDescent="0.2">
      <c r="A51" s="19"/>
      <c r="B51" s="43" t="s">
        <v>466</v>
      </c>
      <c r="C51" s="56">
        <f>VLOOKUP(A3,Data!A1:AQ88,23,FALSE)</f>
        <v>7.6899999999999996E-2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1.5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Meets or exceeds current state target</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0.24390000000000001</v>
      </c>
      <c r="E58" s="23"/>
      <c r="F58" s="23"/>
      <c r="G58" s="23"/>
      <c r="H58" s="23"/>
      <c r="I58" s="23"/>
      <c r="J58" s="23"/>
    </row>
    <row r="59" spans="1:10" ht="11.25" customHeight="1" x14ac:dyDescent="0.2">
      <c r="A59" s="19"/>
      <c r="B59" s="43" t="s">
        <v>466</v>
      </c>
      <c r="C59" s="56">
        <f>VLOOKUP(A3,Data!A1:AQ88,26,FALSE)</f>
        <v>0.36359999999999998</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current state target</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0.125</v>
      </c>
      <c r="E66" s="23"/>
      <c r="F66" s="23"/>
      <c r="G66" s="23"/>
      <c r="H66" s="23"/>
      <c r="I66" s="23"/>
      <c r="J66" s="23"/>
    </row>
    <row r="67" spans="1:10" ht="11.25" customHeight="1" x14ac:dyDescent="0.2">
      <c r="A67" s="19"/>
      <c r="B67" s="43" t="s">
        <v>466</v>
      </c>
      <c r="C67" s="56">
        <f>VLOOKUP(A3,Data!A1:AQ88,29,FALSE)</f>
        <v>0.26919999999999999</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0.72750000000000004</v>
      </c>
      <c r="E74" s="23"/>
      <c r="F74" s="23"/>
      <c r="G74" s="23"/>
      <c r="H74" s="23"/>
      <c r="I74" s="23"/>
      <c r="J74" s="23"/>
    </row>
    <row r="75" spans="1:10" ht="11.25" customHeight="1" x14ac:dyDescent="0.2">
      <c r="A75" s="19"/>
      <c r="B75" s="43" t="s">
        <v>466</v>
      </c>
      <c r="C75" s="56">
        <f>VLOOKUP(A3,Data!A1:AQ88,32,FALSE)</f>
        <v>0.64829999999999999</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0.13489999999999999</v>
      </c>
      <c r="E90" s="23"/>
      <c r="F90" s="23"/>
      <c r="G90" s="23"/>
      <c r="H90" s="23"/>
      <c r="I90" s="23"/>
      <c r="J90" s="23"/>
    </row>
    <row r="91" spans="1:10" ht="11.25" customHeight="1" x14ac:dyDescent="0.2">
      <c r="A91" s="19"/>
      <c r="B91" s="43" t="s">
        <v>466</v>
      </c>
      <c r="C91" s="56">
        <f>VLOOKUP(A3,Data!A1:AQ88,38,FALSE)</f>
        <v>0.13919999999999999</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0</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and did not improve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0.27300000000000002</v>
      </c>
      <c r="E98" s="23"/>
      <c r="F98" s="23"/>
      <c r="G98" s="23"/>
      <c r="H98" s="23"/>
      <c r="I98" s="23"/>
      <c r="J98" s="23"/>
    </row>
    <row r="99" spans="1:10" ht="11.25" customHeight="1" x14ac:dyDescent="0.2">
      <c r="A99" s="19"/>
      <c r="B99" s="43" t="s">
        <v>466</v>
      </c>
      <c r="C99" s="56">
        <f>VLOOKUP(A3,Data!A1:AQ88,41,FALSE)</f>
        <v>0.23799999999999999</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14.5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14.5</v>
      </c>
      <c r="C104" s="63">
        <f>VLOOKUP(A3,Data!A1:AQ88,42,FALSE)</f>
        <v>1</v>
      </c>
      <c r="D104" s="99">
        <f>SUM(A104:C104)</f>
        <v>32.5</v>
      </c>
      <c r="E104" s="63">
        <f>VLOOKUP(A3,Data!A1:AQ88,43,FALSE)</f>
        <v>40</v>
      </c>
      <c r="F104" s="33">
        <f>D104/E104</f>
        <v>0.8125</v>
      </c>
      <c r="G104" s="62" t="str">
        <f>IF(F104&gt;=0.8,"Meets Requirement",
IF(F104&gt;=0.6,"Needs Assistance",
IF(F104&gt;=0.3,"Needs Assistance",
IF(F104&lt;0.3,"Needs Assistance","NA"))))</f>
        <v>Meets Requirement</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OzcnLs9OHWSgj8m1g1Ex+YZdwEYtoEZdIRLZiZK0WtNF8sbjQouoN96uSUo4UySTrsS8psnohf3qwYoVVPmpbg==" saltValue="8RaT5F2EQM3a2lrir19ZU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2023-09-06T13:27:36Z</dcterms:modified>
</cp:coreProperties>
</file>