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F15BF7A-B76B-4E7C-A181-811E789DA12E}" xr6:coauthVersionLast="47" xr6:coauthVersionMax="47" xr10:uidLastSave="{00000000-0000-0000-0000-000000000000}"/>
  <workbookProtection workbookAlgorithmName="SHA-512" workbookHashValue="cVut+dSSsH0nEG+e0dCaRJamHeg+AKlwPsnW/vneioNVeKBd/PI/opcO/UuGnFazQAuFBCo8CB9WLzmNhiC6dQ==" workbookSaltValue="wRimKw6r5tSAnZCGBi1Wq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<sst xmlns="http://schemas.openxmlformats.org/spreadsheetml/2006/main" count="2581" uniqueCount="605">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</sst>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0.26090000000000002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0.48599999999999999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0.73140000000000005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0.50929999999999997</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0.65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0.58879999999999999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0.97670000000000001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0.97560975609756095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0.97540983606557397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0.4118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0.88725490196078405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0.97950819672131195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0.86858974358974395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0.116591928251121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6.3926940639269403E-2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0.36809815950920199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0.137777777777778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2.27272727272727E-2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0.23529411764705899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0.69440000000000002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0.157894736842105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0.27777777777777801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0.11764705882352899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0.47368421052631599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0.34615384615384598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0.350831861348401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0.38114667204476199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0.46769628821672798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0.239388988510327</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0.19407181921370301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0.2361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0.30370370370370398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0.69189999999999996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0.1177</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0.99770000000000003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0.56000000000000005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0.46460000000000001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0.3805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1.32E-2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0.98373983739837401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0.11899999999999999</c:v>
                </c:pt>
                <c:pt idx="3">
                  <c:v>0.125</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0.3805</c:v>
                </c:pt>
                <c:pt idx="3">
                  <c:v>9.5200000000000007E-2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9.2899999999999996E-2</c:v>
                </c:pt>
                <c:pt idx="3">
                  <c:v>0.13639999999999999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0.67169999999999996</c:v>
                </c:pt>
                <c:pt idx="3">
                  <c:v>0.69189999999999996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0.13289999999999999</c:v>
                </c:pt>
                <c:pt idx="3">
                  <c:v>0.12239999999999999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0.185</c:v>
                </c:pt>
                <c:pt idx="3">
                  <c:v>0.252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6.9900000000000004E-2</c:v>
                </c:pt>
                <c:pt idx="3">
                  <c:v>7.1400000000000005E-2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3.4500000000000003E-2</c:v>
                </c:pt>
                <c:pt idx="3">
                  <c:v>5.8599999999999999E-2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0.71430000000000005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24</v>
      </c>
      <c r="B3" s="36"/>
      <c r="C3" s="36"/>
      <c r="D3" s="36"/>
      <c r="E3" s="36"/>
      <c r="F3" s="36"/>
      <c r="G3" s="36"/>
      <c r="H3" s="36"/>
      <c r="I3" s="36"/>
      <c r="J3" s="36"/>
      <c r="K3" s="36"/>
      <c r="L3" s="36"/>
      <c r="M3" s="36"/>
      <c r="N3" s="36"/>
      <c r="O3" s="10"/>
    </row>
    <row r="4" spans="1:20" s="9" customFormat="1" ht="11.25" x14ac:dyDescent="0.2">
      <c r="A4" s="9" t="str">
        <f>+VLOOKUP(A3,'Old Data'!A1:CM88,2,FALSE)</f>
        <v>1000 Brookhaven Drive</v>
      </c>
      <c r="C4" s="12"/>
      <c r="E4" s="12"/>
      <c r="F4" s="12"/>
    </row>
    <row r="5" spans="1:20" s="9" customFormat="1" ht="11.25" x14ac:dyDescent="0.2">
      <c r="A5" s="9" t="str">
        <f>+VLOOKUP(A3,'Old Data'!A1:CM88,3,FALSE)</f>
        <v>Aiken</v>
      </c>
      <c r="C5" s="12"/>
      <c r="E5" s="12"/>
      <c r="F5" s="12"/>
      <c r="G5" s="12" t="str">
        <f>+VLOOKUP(A3,'Old Data'!A1:CM88,4,FALSE)</f>
        <v>SC</v>
      </c>
      <c r="H5" s="12"/>
      <c r="I5" s="12">
        <f>+VLOOKUP(A3,'Old Data'!A1:CM88,5,FALSE)</f>
        <v>29803</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0.3805</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0.46460000000000001</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0.97560975609756095</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0.97540983606557397</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0.88725490196078405</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0.98373983739837401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0.97950819672131195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0.86858974358974395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0.116591928251121</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6.3926940639269403E-2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0.36809815950920199</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0.137777777777778</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2.27272727272727E-2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0.23529411764705899</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0.157894736842105</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0.27777777777777801</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0.11764705882352899</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0.47368421052631599</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0.34615384615384598</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0.350831861348401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0.38114667204476199</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0.46769628821672798</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0.239388988510327</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0.19407181921370301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0.30370370370370398</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Yes</v>
      </c>
      <c r="H95" s="66" t="s">
        <v>1</v>
      </c>
      <c r="I95" s="11" t="str">
        <f>IF(OR(G95="NA",G95="**"),"NA",IF(G95="No","Met",IF(G95="Yes","Not Met")))</f>
        <v>Not 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0.69189999999999996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0.1177</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1.32E-2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0.26090000000000002</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0.5</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0.4118</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0.69440000000000002</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0.2361</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0.71430000000000005</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0.48599999999999999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0.73140000000000005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0.50929999999999997</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0.65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0.58879999999999999</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0.97670000000000001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0.99770000000000003</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0.56000000000000005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0.62</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Q+te+8HyU8D7vRrsXsTXBpFt4J+c/Xa6bNeqUNKPga3Pao65crnKosGKXkuG073SBPw6MMd5k4H84//mOtzWqw==" saltValue="mcRpsNOF7S/T3NI8w0xIv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24</v>
      </c>
      <c r="B3" s="36"/>
      <c r="C3" s="36"/>
      <c r="D3" s="36"/>
      <c r="E3" s="36"/>
      <c r="F3" s="36"/>
      <c r="G3" s="36"/>
      <c r="H3" s="10"/>
      <c r="I3" s="10"/>
      <c r="J3" s="10"/>
    </row>
    <row r="4" spans="1:10" x14ac:dyDescent="0.2">
      <c r="A4" s="9" t="str">
        <f>VLOOKUP(A3,Data!A1:AQ88,2,FALSE)</f>
        <v>1000 Brookhaven Drive</v>
      </c>
    </row>
    <row r="5" spans="1:10" x14ac:dyDescent="0.2">
      <c r="A5" s="9" t="str">
        <f>VLOOKUP(A3,Data!A1:AQ88,3,FALSE)</f>
        <v>Aiken</v>
      </c>
      <c r="C5" s="12" t="str">
        <f>VLOOKUP(A3,Data!A1:AQ88,4,FALSE)</f>
        <v>SC</v>
      </c>
      <c r="D5" s="12">
        <f>VLOOKUP(A3,Data!A1:AQ88,5,FALSE)</f>
        <v>29803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1</v>
      </c>
      <c r="C22" s="95" t="str">
        <f>IF(B22=0,"2 or more consecutive years of findings of non-compliance (current year and previous year(s))",
IF(B22=1,"Findings of non-compliance in the current year",
IF(B22=2,"No findings of non-compliance","")))</f>
        <v>Findings of non-compliance in the current year</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0.3805</v>
      </c>
      <c r="E34" s="23"/>
      <c r="F34" s="23"/>
      <c r="G34" s="23"/>
      <c r="H34" s="23"/>
      <c r="I34" s="23"/>
      <c r="J34" s="23"/>
    </row>
    <row r="35" spans="1:10" ht="11.25" customHeight="1" x14ac:dyDescent="0.2">
      <c r="A35" s="19"/>
      <c r="B35" s="43" t="s">
        <v>466</v>
      </c>
      <c r="C35" s="56">
        <f>VLOOKUP(A3,Data!A1:AQ88,17,FALSE)</f>
        <v>9.5200000000000007E-2</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0.11899999999999999</v>
      </c>
      <c r="E42" s="23"/>
      <c r="F42" s="23"/>
      <c r="G42" s="23"/>
      <c r="H42" s="23"/>
      <c r="I42" s="23"/>
      <c r="J42" s="23"/>
    </row>
    <row r="43" spans="1:10" ht="11.25" customHeight="1" x14ac:dyDescent="0.2">
      <c r="A43" s="19"/>
      <c r="B43" s="43" t="s">
        <v>466</v>
      </c>
      <c r="C43" s="56">
        <f>VLOOKUP(A3,Data!A1:AQ88,20,FALSE)</f>
        <v>0.125</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6.9900000000000004E-2</v>
      </c>
      <c r="E50" s="23"/>
      <c r="F50" s="23"/>
      <c r="G50" s="23"/>
      <c r="H50" s="23"/>
      <c r="I50" s="23"/>
      <c r="J50" s="23"/>
    </row>
    <row r="51" spans="1:10" ht="11.25" customHeight="1" x14ac:dyDescent="0.2">
      <c r="A51" s="19"/>
      <c r="B51" s="43" t="s">
        <v>466</v>
      </c>
      <c r="C51" s="56">
        <f>VLOOKUP(A3,Data!A1:AQ88,23,FALSE)</f>
        <v>7.1400000000000005E-2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9.2899999999999996E-2</v>
      </c>
      <c r="E58" s="23"/>
      <c r="F58" s="23"/>
      <c r="G58" s="23"/>
      <c r="H58" s="23"/>
      <c r="I58" s="23"/>
      <c r="J58" s="23"/>
    </row>
    <row r="59" spans="1:10" ht="11.25" customHeight="1" x14ac:dyDescent="0.2">
      <c r="A59" s="19"/>
      <c r="B59" s="43" t="s">
        <v>466</v>
      </c>
      <c r="C59" s="56">
        <f>VLOOKUP(A3,Data!A1:AQ88,26,FALSE)</f>
        <v>0.13639999999999999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3.4500000000000003E-2</v>
      </c>
      <c r="E66" s="23"/>
      <c r="F66" s="23"/>
      <c r="G66" s="23"/>
      <c r="H66" s="23"/>
      <c r="I66" s="23"/>
      <c r="J66" s="23"/>
    </row>
    <row r="67" spans="1:10" ht="11.25" customHeight="1" x14ac:dyDescent="0.2">
      <c r="A67" s="19"/>
      <c r="B67" s="43" t="s">
        <v>466</v>
      </c>
      <c r="C67" s="56">
        <f>VLOOKUP(A3,Data!A1:AQ88,29,FALSE)</f>
        <v>5.8599999999999999E-2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0.67169999999999996</v>
      </c>
      <c r="E74" s="23"/>
      <c r="F74" s="23"/>
      <c r="G74" s="23"/>
      <c r="H74" s="23"/>
      <c r="I74" s="23"/>
      <c r="J74" s="23"/>
    </row>
    <row r="75" spans="1:10" ht="11.25" customHeight="1" x14ac:dyDescent="0.2">
      <c r="A75" s="19"/>
      <c r="B75" s="43" t="s">
        <v>466</v>
      </c>
      <c r="C75" s="56">
        <f>VLOOKUP(A3,Data!A1:AQ88,32,FALSE)</f>
        <v>0.69189999999999996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0.13289999999999999</v>
      </c>
      <c r="E90" s="23"/>
      <c r="F90" s="23"/>
      <c r="G90" s="23"/>
      <c r="H90" s="23"/>
      <c r="I90" s="23"/>
      <c r="J90" s="23"/>
    </row>
    <row r="91" spans="1:10" ht="11.25" customHeight="1" x14ac:dyDescent="0.2">
      <c r="A91" s="19"/>
      <c r="B91" s="43" t="s">
        <v>466</v>
      </c>
      <c r="C91" s="56">
        <f>VLOOKUP(A3,Data!A1:AQ88,38,FALSE)</f>
        <v>0.12239999999999999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0.185</v>
      </c>
      <c r="E98" s="23"/>
      <c r="F98" s="23"/>
      <c r="G98" s="23"/>
      <c r="H98" s="23"/>
      <c r="I98" s="23"/>
      <c r="J98" s="23"/>
    </row>
    <row r="99" spans="1:10" ht="11.25" customHeight="1" x14ac:dyDescent="0.2">
      <c r="A99" s="19"/>
      <c r="B99" s="43" t="s">
        <v>466</v>
      </c>
      <c r="C99" s="56">
        <f>VLOOKUP(A3,Data!A1:AQ88,41,FALSE)</f>
        <v>0.252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10</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10</v>
      </c>
      <c r="C104" s="63">
        <f>VLOOKUP(A3,Data!A1:AQ88,42,FALSE)</f>
        <v>1</v>
      </c>
      <c r="D104" s="99">
        <f>SUM(A104:C104)</f>
        <v>27</v>
      </c>
      <c r="E104" s="63">
        <f>VLOOKUP(A3,Data!A1:AQ88,43,FALSE)</f>
        <v>40</v>
      </c>
      <c r="F104" s="33">
        <f>D104/E104</f>
        <v>0.67500000000000004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0GKKwteql1cL/0RAUQMXeMhIUqOWcs8pjqkt3HsB+Yq6fhBPH3cEgXLnivNyBwCMxDlMDPhlITsHEK8nKGrkMA==" saltValue="JqP7vPXDGLlLLKKqG2Bak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2023-09-06T13:27:37Z</dcterms:modified>
</cp:coreProperties>
</file>