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0278578F-E493-4CA3-8658-430267503FC6}" xr6:coauthVersionLast="47" xr6:coauthVersionMax="47" xr10:uidLastSave="{00000000-0000-0000-0000-000000000000}"/>
  <workbookProtection workbookAlgorithmName="SHA-512" workbookHashValue="NXhkVvEzhv/8Zkdw2BQSqSIIXw2PRdo/AMBqa99votzPRQbfbVICHHORj6ir0AhiCcNivjucpo63XHkhoEKo2w==" workbookSaltValue="N5MIglp8Agpc1oYAkKpzK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<sst xmlns="http://schemas.openxmlformats.org/spreadsheetml/2006/main" count="2581" uniqueCount="605">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</sst>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0.66669999999999996</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0.66669999999999996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0.66669999999999996</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0.66669999999999996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0.91666666666666696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0.16666666666666699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0.27272727272727298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0.27868852459016402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3.8152610441767099E-2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0.67307692307692302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0.133333333333333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0.105882352941176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9.8406747891283994E-2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0.66320000000000001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0.66669999999999996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0.16669999999999999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0.83330000000000004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2.1100000000000001E-2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0.83330000000000004</c:v>
                </c:pt>
                <c:pt idx="3">
                  <c:v>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0.4</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0.62749999999999995</c:v>
                </c:pt>
                <c:pt idx="3">
                  <c:v>0.66320000000000001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5.8799999999999998E-2</c:v>
                </c:pt>
                <c:pt idx="3">
                  <c:v>0.28999999999999998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0.125</c:v>
                </c:pt>
                <c:pt idx="3">
                  <c:v>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0.16669999999999999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0.66669999999999996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25</v>
      </c>
      <c r="B3" s="36"/>
      <c r="C3" s="36"/>
      <c r="D3" s="36"/>
      <c r="E3" s="36"/>
      <c r="F3" s="36"/>
      <c r="G3" s="36"/>
      <c r="H3" s="36"/>
      <c r="I3" s="36"/>
      <c r="J3" s="36"/>
      <c r="K3" s="36"/>
      <c r="L3" s="36"/>
      <c r="M3" s="36"/>
      <c r="N3" s="36"/>
      <c r="O3" s="10"/>
    </row>
    <row r="4" spans="1:20" s="9" customFormat="1" ht="11.25" x14ac:dyDescent="0.2">
      <c r="A4" s="9" t="str">
        <f>+VLOOKUP(A3,'Old Data'!A1:CM88,2,FALSE)</f>
        <v xml:space="preserve">P.O. Box 458 </v>
      </c>
      <c r="C4" s="12"/>
      <c r="E4" s="12"/>
      <c r="F4" s="12"/>
    </row>
    <row r="5" spans="1:20" s="9" customFormat="1" ht="11.25" x14ac:dyDescent="0.2">
      <c r="A5" s="9" t="str">
        <f>+VLOOKUP(A3,'Old Data'!A1:CM88,3,FALSE)</f>
        <v>Fairfax</v>
      </c>
      <c r="C5" s="12"/>
      <c r="E5" s="12"/>
      <c r="F5" s="12"/>
      <c r="G5" s="12" t="str">
        <f>+VLOOKUP(A3,'Old Data'!A1:CM88,4,FALSE)</f>
        <v>SC</v>
      </c>
      <c r="H5" s="12"/>
      <c r="I5" s="12">
        <f>+VLOOKUP(A3,'Old Data'!A1:CM88,5,FALSE)</f>
        <v>29827</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0.83330000000000004</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0.16669999999999999</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0.8</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0.91666666666666696</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0.16666666666666699</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0.27272727272727298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0.27868852459016402</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3.8152610441767099E-2</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0.67307692307692302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0.133333333333333</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0.105882352941176</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9.8406747891283994E-2</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0.66320000000000001</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2.1100000000000001E-2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0.66669999999999996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0.66669999999999996</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0.66669999999999996</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0.66669999999999996</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0.5</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0.66669999999999996</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Yes</v>
      </c>
      <c r="H166" s="66" t="s">
        <v>1</v>
      </c>
      <c r="I166" s="11" t="str">
        <f>IF(OR(G166="NA",G166="**"),"NA",IF(G166="No","Met",IF(G166="Yes","Not Met")))</f>
        <v>Not 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0.66669999999999996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0.66669999999999996</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7YDTzhv6QCCGLazpygwHSRowrRODdBnAscxNep4XsXxVL7AFp4mQu+EGn/MN7u7sq0jC91ldxV/rjMHa5NyEqw==" saltValue="7t5U/D5IDvFRJu2JcvAw9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25</v>
      </c>
      <c r="B3" s="36"/>
      <c r="C3" s="36"/>
      <c r="D3" s="36"/>
      <c r="E3" s="36"/>
      <c r="F3" s="36"/>
      <c r="G3" s="36"/>
      <c r="H3" s="10"/>
      <c r="I3" s="10"/>
      <c r="J3" s="10"/>
    </row>
    <row r="4" spans="1:10" x14ac:dyDescent="0.2">
      <c r="A4" s="9" t="str">
        <f>VLOOKUP(A3,Data!A1:AQ88,2,FALSE)</f>
        <v xml:space="preserve">P.O. Box 458 </v>
      </c>
    </row>
    <row r="5" spans="1:10" x14ac:dyDescent="0.2">
      <c r="A5" s="9" t="str">
        <f>VLOOKUP(A3,Data!A1:AQ88,3,FALSE)</f>
        <v>Fairfax</v>
      </c>
      <c r="C5" s="12" t="str">
        <f>VLOOKUP(A3,Data!A1:AQ88,4,FALSE)</f>
        <v>SC</v>
      </c>
      <c r="D5" s="12">
        <f>VLOOKUP(A3,Data!A1:AQ88,5,FALSE)</f>
        <v>29827</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1</v>
      </c>
      <c r="C24" s="95" t="str">
        <f>IF(B24=0,"2 or more consecutive years of findings of non-compliance (current year and previous year(s))",
IF(B24=1,"Findings of non-compliance in the current year",
IF(B24=2,"No findings of non-compliance","")))</f>
        <v>Findings of non-compliance in the current year</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0.83330000000000004</v>
      </c>
      <c r="E34" s="23"/>
      <c r="F34" s="23"/>
      <c r="G34" s="23"/>
      <c r="H34" s="23"/>
      <c r="I34" s="23"/>
      <c r="J34" s="23"/>
    </row>
    <row r="35" spans="1:10" ht="11.25" customHeight="1" x14ac:dyDescent="0.2">
      <c r="A35" s="19"/>
      <c r="B35" s="43" t="s">
        <v>466</v>
      </c>
      <c r="C35" s="56">
        <f>VLOOKUP(A3,Data!A1:AQ88,17,FALSE)</f>
        <v>0.2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v>
      </c>
      <c r="E42" s="23"/>
      <c r="F42" s="23"/>
      <c r="G42" s="23"/>
      <c r="H42" s="23"/>
      <c r="I42" s="23"/>
      <c r="J42" s="23"/>
    </row>
    <row r="43" spans="1:10" ht="11.25" customHeight="1" x14ac:dyDescent="0.2">
      <c r="A43" s="19"/>
      <c r="B43" s="43" t="s">
        <v>466</v>
      </c>
      <c r="C43" s="56">
        <f>VLOOKUP(A3,Data!A1:AQ88,20,FALSE)</f>
        <v>0</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current state target</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0.16669999999999999</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0.4</v>
      </c>
      <c r="E58" s="23"/>
      <c r="F58" s="23"/>
      <c r="G58" s="23"/>
      <c r="H58" s="23"/>
      <c r="I58" s="23"/>
      <c r="J58" s="23"/>
    </row>
    <row r="59" spans="1:10" ht="11.25" customHeight="1" x14ac:dyDescent="0.2">
      <c r="A59" s="19"/>
      <c r="B59" s="43" t="s">
        <v>466</v>
      </c>
      <c r="C59" s="56">
        <f>VLOOKUP(A3,Data!A1:AQ88,26,FALSE)</f>
        <v>0</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0.62749999999999995</v>
      </c>
      <c r="E74" s="23"/>
      <c r="F74" s="23"/>
      <c r="G74" s="23"/>
      <c r="H74" s="23"/>
      <c r="I74" s="23"/>
      <c r="J74" s="23"/>
    </row>
    <row r="75" spans="1:10" ht="11.25" customHeight="1" x14ac:dyDescent="0.2">
      <c r="A75" s="19"/>
      <c r="B75" s="43" t="s">
        <v>466</v>
      </c>
      <c r="C75" s="56">
        <f>VLOOKUP(A3,Data!A1:AQ88,32,FALSE)</f>
        <v>0.66320000000000001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5.8799999999999998E-2</v>
      </c>
      <c r="E90" s="23"/>
      <c r="F90" s="23"/>
      <c r="G90" s="23"/>
      <c r="H90" s="23"/>
      <c r="I90" s="23"/>
      <c r="J90" s="23"/>
    </row>
    <row r="91" spans="1:10" ht="11.25" customHeight="1" x14ac:dyDescent="0.2">
      <c r="A91" s="19"/>
      <c r="B91" s="43" t="s">
        <v>466</v>
      </c>
      <c r="C91" s="56">
        <f>VLOOKUP(A3,Data!A1:AQ88,38,FALSE)</f>
        <v>0.28999999999999998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0.125</v>
      </c>
      <c r="E98" s="23"/>
      <c r="F98" s="23"/>
      <c r="G98" s="23"/>
      <c r="H98" s="23"/>
      <c r="I98" s="23"/>
      <c r="J98" s="23"/>
    </row>
    <row r="99" spans="1:10" ht="11.25" customHeight="1" x14ac:dyDescent="0.2">
      <c r="A99" s="19"/>
      <c r="B99" s="43" t="s">
        <v>466</v>
      </c>
      <c r="C99" s="56">
        <f>VLOOKUP(A3,Data!A1:AQ88,41,FALSE)</f>
        <v>0.2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7.5</v>
      </c>
      <c r="C104" s="63">
        <f>VLOOKUP(A3,Data!A1:AQ88,42,FALSE)</f>
        <v>1</v>
      </c>
      <c r="D104" s="99">
        <f>SUM(A104:C104)</f>
        <v>24.5</v>
      </c>
      <c r="E104" s="63">
        <f>VLOOKUP(A3,Data!A1:AQ88,43,FALSE)</f>
        <v>40</v>
      </c>
      <c r="F104" s="33">
        <f>D104/E104</f>
        <v>0.61250000000000004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aI+SIIAmzEC7satR/FSMOWGKYYi1+4+4nKaStgAb70vTC+5B+f2Wg4CZsBxJeF0m4a0ItxH6OqEwEryIronHLA==" saltValue="Er8jnU4YTVKCj1OQA1WGJ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2023-09-06T13:27:38Z</dcterms:modified>
</cp:coreProperties>
</file>