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EECFA52E-80B2-47B4-95CD-0E6FDC766BDF}" xr6:coauthVersionLast="47" xr6:coauthVersionMax="47" xr10:uidLastSave="{00000000-0000-0000-0000-000000000000}"/>
  <workbookProtection workbookAlgorithmName="SHA-512" workbookHashValue="d0sNkLAd562wlZPPTOL+6obNc5JdgVuaSMR34Vvatu61uwYNJ5bWFWQiIJuYyYcPYCJ7vxpvosRPbqx/9u2c+Q==" workbookSaltValue="wO/d1PP4fA8ycGZA5KCxM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<sst xmlns="http://schemas.openxmlformats.org/spreadsheetml/2006/main" count="2581" uniqueCount="605">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</sst>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6.4500000000000002E-2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0.48180000000000001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0.84519999999999995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0.58179999999999998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0.84930000000000005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0.6774</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0.62729999999999997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0.97960000000000003</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0.99310344827586206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0.96296296296296302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0.44440000000000002</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0.961165048543689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0.96296296296296302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0.98148148148148195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0.32089552238806002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0.101694915254237</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0.550561797752809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0.37313432835820898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9.3220338983050793E-2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0.33333333333333298</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0.439</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0.6</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0.7</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0.35151827071538899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0.47872466516534301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0.34894192433155802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0.29795320479829002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0.34085200640784802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0.439</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0.33737723859041002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0.69689999999999996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0.1767</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0.26090000000000002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0.6522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0.6522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0.16470000000000001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0.62350000000000005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9.1000000000000004E-3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0.99310344827586206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0.24490000000000001</c:v>
                </c:pt>
                <c:pt idx="3">
                  <c:v>0.34029999999999999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0.62350000000000005</c:v>
                </c:pt>
                <c:pt idx="3">
                  <c:v>0.65590000000000004</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0.30409999999999998</c:v>
                </c:pt>
                <c:pt idx="3">
                  <c:v>0.39579999999999999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0.66830000000000001</c:v>
                </c:pt>
                <c:pt idx="3">
                  <c:v>0.69689999999999996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8.9099999999999999E-2</c:v>
                </c:pt>
                <c:pt idx="3">
                  <c:v>8.6699999999999999E-2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0.33700000000000002</c:v>
                </c:pt>
                <c:pt idx="3">
                  <c:v>0.52900000000000003</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0.1462</c:v>
                </c:pt>
                <c:pt idx="3">
                  <c:v>0.13850000000000001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0.15379999999999999</c:v>
                </c:pt>
                <c:pt idx="3">
                  <c:v>0.1308</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0.87760000000000005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26</v>
      </c>
      <c r="B3" s="36"/>
      <c r="C3" s="36"/>
      <c r="D3" s="36"/>
      <c r="E3" s="36"/>
      <c r="F3" s="36"/>
      <c r="G3" s="36"/>
      <c r="H3" s="36"/>
      <c r="I3" s="36"/>
      <c r="J3" s="36"/>
      <c r="K3" s="36"/>
      <c r="L3" s="36"/>
      <c r="M3" s="36"/>
      <c r="N3" s="36"/>
      <c r="O3" s="10"/>
    </row>
    <row r="4" spans="1:20" s="9" customFormat="1" ht="11.25" x14ac:dyDescent="0.2">
      <c r="A4" s="9" t="str">
        <f>+VLOOKUP(A3,'Old Data'!A1:CM88,2,FALSE)</f>
        <v>P.O. Box 99</v>
      </c>
      <c r="C4" s="12"/>
      <c r="E4" s="12"/>
      <c r="F4" s="12"/>
    </row>
    <row r="5" spans="1:20" s="9" customFormat="1" ht="11.25" x14ac:dyDescent="0.2">
      <c r="A5" s="9" t="str">
        <f>+VLOOKUP(A3,'Old Data'!A1:CM88,3,FALSE)</f>
        <v>Williamston</v>
      </c>
      <c r="C5" s="12"/>
      <c r="E5" s="12"/>
      <c r="F5" s="12"/>
      <c r="G5" s="12" t="str">
        <f>+VLOOKUP(A3,'Old Data'!A1:CM88,4,FALSE)</f>
        <v>SC</v>
      </c>
      <c r="H5" s="12"/>
      <c r="I5" s="12">
        <f>+VLOOKUP(A3,'Old Data'!A1:CM88,5,FALSE)</f>
        <v>29697</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0.62350000000000005</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0.16470000000000001</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0.99310344827586206</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0.96296296296296302</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0.961165048543689</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0.99310344827586206</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0.96296296296296302</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0.98148148148148195</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0.32089552238806002</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0.101694915254237</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0.550561797752809</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0.37313432835820898</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9.3220338983050793E-2</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0.33333333333333298</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0.6</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0.5</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0.6</v>
      </c>
      <c r="H61" s="66" t="s">
        <v>1</v>
      </c>
      <c r="I61" s="11" t="str">
        <f>IF(OR(G61="NA",G61="**"),"NA",IF(G61&lt;C61,"Not Met","Met"))</f>
        <v>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0.7</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0.5</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0.35151827071538899</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0.47872466516534301</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0.34894192433155802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0.29795320479829002</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0.34085200640784802</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0.33737723859041002</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Yes</v>
      </c>
      <c r="H95" s="66" t="s">
        <v>1</v>
      </c>
      <c r="I95" s="11" t="str">
        <f>IF(OR(G95="NA",G95="**"),"NA",IF(G95="No","Met",IF(G95="Yes","Not Met")))</f>
        <v>Not 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0.69689999999999996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0.1767</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9.1000000000000004E-3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6.4500000000000002E-2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0.6774</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0.44440000000000002</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0.439</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0.439</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0.87760000000000005</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0.48180000000000001</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0.84519999999999995</v>
      </c>
      <c r="H146" s="66" t="s">
        <v>1</v>
      </c>
      <c r="I146" s="11" t="str">
        <f t="shared" si="3"/>
        <v>Not 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0.58179999999999998</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0.84930000000000005</v>
      </c>
      <c r="H154" s="66" t="s">
        <v>1</v>
      </c>
      <c r="I154" s="11" t="str">
        <f t="shared" si="3"/>
        <v>Not 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0.62729999999999997</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0.97960000000000003</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0.26090000000000002</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0.6522</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0.6522</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Jp4B+jivM+Us0OsW+d1oFqz/Wdr02Q73gBNGe8QhX2upfoZ13WsbHWtAYB0Q5sgIc9eVebNzB+KK+y3Bj9K/2Q==" saltValue="umiwfC+BtFgTZ9NJeVZw2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26</v>
      </c>
      <c r="B3" s="36"/>
      <c r="C3" s="36"/>
      <c r="D3" s="36"/>
      <c r="E3" s="36"/>
      <c r="F3" s="36"/>
      <c r="G3" s="36"/>
      <c r="H3" s="10"/>
      <c r="I3" s="10"/>
      <c r="J3" s="10"/>
    </row>
    <row r="4" spans="1:10" x14ac:dyDescent="0.2">
      <c r="A4" s="9" t="str">
        <f>VLOOKUP(A3,Data!A1:AQ88,2,FALSE)</f>
        <v>P.O. Box 99</v>
      </c>
    </row>
    <row r="5" spans="1:10" x14ac:dyDescent="0.2">
      <c r="A5" s="9" t="str">
        <f>VLOOKUP(A3,Data!A1:AQ88,3,FALSE)</f>
        <v>Williamston</v>
      </c>
      <c r="C5" s="12" t="str">
        <f>VLOOKUP(A3,Data!A1:AQ88,4,FALSE)</f>
        <v>SC</v>
      </c>
      <c r="D5" s="12">
        <f>VLOOKUP(A3,Data!A1:AQ88,5,FALSE)</f>
        <v>29697</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1</v>
      </c>
      <c r="C22" s="95" t="str">
        <f>IF(B22=0,"2 or more consecutive years of findings of non-compliance (current year and previous year(s))",
IF(B22=1,"Findings of non-compliance in the current year",
IF(B22=2,"No findings of non-compliance","")))</f>
        <v>Findings of non-compliance in the current year</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0.62350000000000005</v>
      </c>
      <c r="E34" s="23"/>
      <c r="F34" s="23"/>
      <c r="G34" s="23"/>
      <c r="H34" s="23"/>
      <c r="I34" s="23"/>
      <c r="J34" s="23"/>
    </row>
    <row r="35" spans="1:10" ht="11.25" customHeight="1" x14ac:dyDescent="0.2">
      <c r="A35" s="19"/>
      <c r="B35" s="43" t="s">
        <v>466</v>
      </c>
      <c r="C35" s="56">
        <f>VLOOKUP(A3,Data!A1:AQ88,17,FALSE)</f>
        <v>0.65590000000000004</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0.24490000000000001</v>
      </c>
      <c r="E42" s="23"/>
      <c r="F42" s="23"/>
      <c r="G42" s="23"/>
      <c r="H42" s="23"/>
      <c r="I42" s="23"/>
      <c r="J42" s="23"/>
    </row>
    <row r="43" spans="1:10" ht="11.25" customHeight="1" x14ac:dyDescent="0.2">
      <c r="A43" s="19"/>
      <c r="B43" s="43" t="s">
        <v>466</v>
      </c>
      <c r="C43" s="56">
        <f>VLOOKUP(A3,Data!A1:AQ88,20,FALSE)</f>
        <v>0.34029999999999999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0.1462</v>
      </c>
      <c r="E50" s="23"/>
      <c r="F50" s="23"/>
      <c r="G50" s="23"/>
      <c r="H50" s="23"/>
      <c r="I50" s="23"/>
      <c r="J50" s="23"/>
    </row>
    <row r="51" spans="1:10" ht="11.25" customHeight="1" x14ac:dyDescent="0.2">
      <c r="A51" s="19"/>
      <c r="B51" s="43" t="s">
        <v>466</v>
      </c>
      <c r="C51" s="56">
        <f>VLOOKUP(A3,Data!A1:AQ88,23,FALSE)</f>
        <v>0.13850000000000001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0.30409999999999998</v>
      </c>
      <c r="E58" s="23"/>
      <c r="F58" s="23"/>
      <c r="G58" s="23"/>
      <c r="H58" s="23"/>
      <c r="I58" s="23"/>
      <c r="J58" s="23"/>
    </row>
    <row r="59" spans="1:10" ht="11.25" customHeight="1" x14ac:dyDescent="0.2">
      <c r="A59" s="19"/>
      <c r="B59" s="43" t="s">
        <v>466</v>
      </c>
      <c r="C59" s="56">
        <f>VLOOKUP(A3,Data!A1:AQ88,26,FALSE)</f>
        <v>0.39579999999999999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0.15379999999999999</v>
      </c>
      <c r="E66" s="23"/>
      <c r="F66" s="23"/>
      <c r="G66" s="23"/>
      <c r="H66" s="23"/>
      <c r="I66" s="23"/>
      <c r="J66" s="23"/>
    </row>
    <row r="67" spans="1:10" ht="11.25" customHeight="1" x14ac:dyDescent="0.2">
      <c r="A67" s="19"/>
      <c r="B67" s="43" t="s">
        <v>466</v>
      </c>
      <c r="C67" s="56">
        <f>VLOOKUP(A3,Data!A1:AQ88,29,FALSE)</f>
        <v>0.1308</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2</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prior year’s state performance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0.66830000000000001</v>
      </c>
      <c r="E74" s="23"/>
      <c r="F74" s="23"/>
      <c r="G74" s="23"/>
      <c r="H74" s="23"/>
      <c r="I74" s="23"/>
      <c r="J74" s="23"/>
    </row>
    <row r="75" spans="1:10" ht="11.25" customHeight="1" x14ac:dyDescent="0.2">
      <c r="A75" s="19"/>
      <c r="B75" s="43" t="s">
        <v>466</v>
      </c>
      <c r="C75" s="56">
        <f>VLOOKUP(A3,Data!A1:AQ88,32,FALSE)</f>
        <v>0.69689999999999996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8.9099999999999999E-2</v>
      </c>
      <c r="E90" s="23"/>
      <c r="F90" s="23"/>
      <c r="G90" s="23"/>
      <c r="H90" s="23"/>
      <c r="I90" s="23"/>
      <c r="J90" s="23"/>
    </row>
    <row r="91" spans="1:10" ht="11.25" customHeight="1" x14ac:dyDescent="0.2">
      <c r="A91" s="19"/>
      <c r="B91" s="43" t="s">
        <v>466</v>
      </c>
      <c r="C91" s="56">
        <f>VLOOKUP(A3,Data!A1:AQ88,38,FALSE)</f>
        <v>8.6699999999999999E-2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0.33700000000000002</v>
      </c>
      <c r="E98" s="23"/>
      <c r="F98" s="23"/>
      <c r="G98" s="23"/>
      <c r="H98" s="23"/>
      <c r="I98" s="23"/>
      <c r="J98" s="23"/>
    </row>
    <row r="99" spans="1:10" ht="11.25" customHeight="1" x14ac:dyDescent="0.2">
      <c r="A99" s="19"/>
      <c r="B99" s="43" t="s">
        <v>466</v>
      </c>
      <c r="C99" s="56">
        <f>VLOOKUP(A3,Data!A1:AQ88,41,FALSE)</f>
        <v>0.52900000000000003</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18.5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18.5</v>
      </c>
      <c r="C104" s="63">
        <f>VLOOKUP(A3,Data!A1:AQ88,42,FALSE)</f>
        <v>1</v>
      </c>
      <c r="D104" s="99">
        <f>SUM(A104:C104)</f>
        <v>36.5</v>
      </c>
      <c r="E104" s="63">
        <f>VLOOKUP(A3,Data!A1:AQ88,43,FALSE)</f>
        <v>40</v>
      </c>
      <c r="F104" s="33">
        <f>D104/E104</f>
        <v>0.91249999999999998</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6UcBcuP1sCXgG+OuSGHvW1ooZzZ0/dy5kmC4zXCLzMPrdcuuuAPiFKjysdrbd7QWM64ZlGmzmn6xzXt3Lmkn1A==" saltValue="ZLX7TtFn7gjXwei/EGYYN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2023-09-06T13:27:39Z</dcterms:modified>
</cp:coreProperties>
</file>