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1F884880-31E3-41D5-81B4-CA930FDA594D}" xr6:coauthVersionLast="47" xr6:coauthVersionMax="47" xr10:uidLastSave="{00000000-0000-0000-0000-000000000000}"/>
  <workbookProtection workbookAlgorithmName="SHA-512" workbookHashValue="lnRqoG/8yWuiwW+tlBO+J05y61t1w4AuDn1dOmkCHieWTuesi6g+hFacCflFEdE+84LG3qeE+iaaIVV2fb6sFw==" workbookSaltValue="SQ38qwVfjyMQrPf7USOopw=="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<sst xmlns="http://schemas.openxmlformats.org/spreadsheetml/2006/main" count="2581" uniqueCount="605">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</sst>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0.41670000000000001</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0.85709999999999997</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0.58330000000000004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0.88890000000000002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0.6</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0.70830000000000004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0.94285714285714295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0.97297297297297303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0.94285714285714295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0.97435897435897401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0.37288135593220301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0.125</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0.67741935483870996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0.322033898305085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0.125</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0.62068965517241403</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0.66666666666666696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0.21049999999999999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0.6</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0.33333333333333298</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0.55555555555555602</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0.22126090348202301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0.36954545454545501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0.199292973928414</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0.25118785901709101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0.169545454545455</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0.31580000000000003</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0.204782042940794</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0.77680000000000005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0.1089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0.95879999999999999</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0.33329999999999999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0.66669999999999996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0.29170000000000001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0.66669999999999996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5.2600000000000001E-2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7.4000000000000003E-3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0.27779999999999999</c:v>
                </c:pt>
                <c:pt idx="3">
                  <c:v>0.3871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0.66669999999999996</c:v>
                </c:pt>
                <c:pt idx="3">
                  <c:v>0.59089999999999998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0.25</c:v>
                </c:pt>
                <c:pt idx="3">
                  <c:v>0.3226</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0.76739999999999997</c:v>
                </c:pt>
                <c:pt idx="3">
                  <c:v>0.77680000000000005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7.3599999999999999E-2</c:v>
                </c:pt>
                <c:pt idx="3">
                  <c:v>0.12809999999999999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0.45200000000000001</c:v>
                </c:pt>
                <c:pt idx="3">
                  <c:v>0.38500000000000001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0.29549999999999998</c:v>
                </c:pt>
                <c:pt idx="3">
                  <c:v>0.1212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0.28889999999999999</c:v>
                </c:pt>
                <c:pt idx="3">
                  <c:v>0.1515</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5.2600000000000001E-2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0.86960000000000004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27</v>
      </c>
      <c r="B3" s="36"/>
      <c r="C3" s="36"/>
      <c r="D3" s="36"/>
      <c r="E3" s="36"/>
      <c r="F3" s="36"/>
      <c r="G3" s="36"/>
      <c r="H3" s="36"/>
      <c r="I3" s="36"/>
      <c r="J3" s="36"/>
      <c r="K3" s="36"/>
      <c r="L3" s="36"/>
      <c r="M3" s="36"/>
      <c r="N3" s="36"/>
      <c r="O3" s="10"/>
    </row>
    <row r="4" spans="1:20" s="9" customFormat="1" ht="11.25" x14ac:dyDescent="0.2">
      <c r="A4" s="9" t="str">
        <f>+VLOOKUP(A3,'Old Data'!A1:CM88,2,FALSE)</f>
        <v>10990 Belton Honea Path Hwy</v>
      </c>
      <c r="C4" s="12"/>
      <c r="E4" s="12"/>
      <c r="F4" s="12"/>
    </row>
    <row r="5" spans="1:20" s="9" customFormat="1" ht="11.25" x14ac:dyDescent="0.2">
      <c r="A5" s="9" t="str">
        <f>+VLOOKUP(A3,'Old Data'!A1:CM88,3,FALSE)</f>
        <v>Honea Path</v>
      </c>
      <c r="C5" s="12"/>
      <c r="E5" s="12"/>
      <c r="F5" s="12"/>
      <c r="G5" s="12" t="str">
        <f>+VLOOKUP(A3,'Old Data'!A1:CM88,4,FALSE)</f>
        <v>SC</v>
      </c>
      <c r="H5" s="12"/>
      <c r="I5" s="12">
        <f>+VLOOKUP(A3,'Old Data'!A1:CM88,5,FALSE)</f>
        <v>29654</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0.66669999999999996</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0.29170000000000001</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0.94285714285714295</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0.97297297297297303</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0.94285714285714295</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0.97435897435897401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0.37288135593220301</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0.125</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0.67741935483870996</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0.322033898305085</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0.125</v>
      </c>
      <c r="H49" s="66" t="s">
        <v>1</v>
      </c>
      <c r="I49" s="11" t="str">
        <f>IF(OR(G49="NA",G49="**"),"NA",IF(G49&lt;C49,"Not Met","Met"))</f>
        <v>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0.62068965517241403</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0.66666666666666696</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0.6</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0.33333333333333298</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1</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0.55555555555555602</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0.22126090348202301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0.36954545454545501</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0.199292973928414</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0.25118785901709101</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0.169545454545455</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0.204782042940794</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0.77680000000000005</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0.1089</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7.4000000000000003E-3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0.2</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0.6</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0.5</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0.21049999999999999</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0.31580000000000003</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5.2600000000000001E-2</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5.2600000000000001E-2</v>
      </c>
      <c r="H130" s="66" t="s">
        <v>1</v>
      </c>
      <c r="I130" s="11" t="str">
        <f>IF(OR(G130="NA",G130="**"),"NA",IF(G130&gt;C130,"Not Met","Met"))</f>
        <v>Not 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0.86960000000000004</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0.41670000000000001</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0.85709999999999997</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0.58330000000000004</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0.88890000000000002</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0.70830000000000004</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t="str">
        <f>VLOOKUP(A3,'Old Data'!A1:CM88,81,FALSE)</f>
        <v>NA</v>
      </c>
      <c r="H162" s="66" t="s">
        <v>1</v>
      </c>
      <c r="I162" s="11" t="str">
        <f t="shared" ref="I162" si="4">IF(OR(G162="NA",G162="**"),"NA",IF(G162&lt;C162,"Not Met","Met"))</f>
        <v>NA</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0.95879999999999999</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0.33329999999999999</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0.66669999999999996</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1</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umYsBBMB2lAo7OZem19/eDh0WwZcVuJmerUWEVI29vI7qE6Ozpi5a3HkDWx1/959e+PoMGXd7Zg9oVuiocCJ/g==" saltValue="RvqlaZumcMq7OroQ8AZ01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27</v>
      </c>
      <c r="B3" s="36"/>
      <c r="C3" s="36"/>
      <c r="D3" s="36"/>
      <c r="E3" s="36"/>
      <c r="F3" s="36"/>
      <c r="G3" s="36"/>
      <c r="H3" s="10"/>
      <c r="I3" s="10"/>
      <c r="J3" s="10"/>
    </row>
    <row r="4" spans="1:10" x14ac:dyDescent="0.2">
      <c r="A4" s="9" t="str">
        <f>VLOOKUP(A3,Data!A1:AQ88,2,FALSE)</f>
        <v>10990 Belton Honea Path Hwy</v>
      </c>
    </row>
    <row r="5" spans="1:10" x14ac:dyDescent="0.2">
      <c r="A5" s="9" t="str">
        <f>VLOOKUP(A3,Data!A1:AQ88,3,FALSE)</f>
        <v>Honea Path</v>
      </c>
      <c r="C5" s="12" t="str">
        <f>VLOOKUP(A3,Data!A1:AQ88,4,FALSE)</f>
        <v>SC</v>
      </c>
      <c r="D5" s="12">
        <f>VLOOKUP(A3,Data!A1:AQ88,5,FALSE)</f>
        <v>29654</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0.66669999999999996</v>
      </c>
      <c r="E34" s="23"/>
      <c r="F34" s="23"/>
      <c r="G34" s="23"/>
      <c r="H34" s="23"/>
      <c r="I34" s="23"/>
      <c r="J34" s="23"/>
    </row>
    <row r="35" spans="1:10" ht="11.25" customHeight="1" x14ac:dyDescent="0.2">
      <c r="A35" s="19"/>
      <c r="B35" s="43" t="s">
        <v>466</v>
      </c>
      <c r="C35" s="56">
        <f>VLOOKUP(A3,Data!A1:AQ88,17,FALSE)</f>
        <v>0.59089999999999998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0.27779999999999999</v>
      </c>
      <c r="E42" s="23"/>
      <c r="F42" s="23"/>
      <c r="G42" s="23"/>
      <c r="H42" s="23"/>
      <c r="I42" s="23"/>
      <c r="J42" s="23"/>
    </row>
    <row r="43" spans="1:10" ht="11.25" customHeight="1" x14ac:dyDescent="0.2">
      <c r="A43" s="19"/>
      <c r="B43" s="43" t="s">
        <v>466</v>
      </c>
      <c r="C43" s="56">
        <f>VLOOKUP(A3,Data!A1:AQ88,20,FALSE)</f>
        <v>0.3871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0.29549999999999998</v>
      </c>
      <c r="E50" s="23"/>
      <c r="F50" s="23"/>
      <c r="G50" s="23"/>
      <c r="H50" s="23"/>
      <c r="I50" s="23"/>
      <c r="J50" s="23"/>
    </row>
    <row r="51" spans="1:10" ht="11.25" customHeight="1" x14ac:dyDescent="0.2">
      <c r="A51" s="19"/>
      <c r="B51" s="43" t="s">
        <v>466</v>
      </c>
      <c r="C51" s="56">
        <f>VLOOKUP(A3,Data!A1:AQ88,23,FALSE)</f>
        <v>0.1212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0.25</v>
      </c>
      <c r="E58" s="23"/>
      <c r="F58" s="23"/>
      <c r="G58" s="23"/>
      <c r="H58" s="23"/>
      <c r="I58" s="23"/>
      <c r="J58" s="23"/>
    </row>
    <row r="59" spans="1:10" ht="11.25" customHeight="1" x14ac:dyDescent="0.2">
      <c r="A59" s="19"/>
      <c r="B59" s="43" t="s">
        <v>466</v>
      </c>
      <c r="C59" s="56">
        <f>VLOOKUP(A3,Data!A1:AQ88,26,FALSE)</f>
        <v>0.3226</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0.28889999999999999</v>
      </c>
      <c r="E66" s="23"/>
      <c r="F66" s="23"/>
      <c r="G66" s="23"/>
      <c r="H66" s="23"/>
      <c r="I66" s="23"/>
      <c r="J66" s="23"/>
    </row>
    <row r="67" spans="1:10" ht="11.25" customHeight="1" x14ac:dyDescent="0.2">
      <c r="A67" s="19"/>
      <c r="B67" s="43" t="s">
        <v>466</v>
      </c>
      <c r="C67" s="56">
        <f>VLOOKUP(A3,Data!A1:AQ88,29,FALSE)</f>
        <v>0.1515</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0.76739999999999997</v>
      </c>
      <c r="E74" s="23"/>
      <c r="F74" s="23"/>
      <c r="G74" s="23"/>
      <c r="H74" s="23"/>
      <c r="I74" s="23"/>
      <c r="J74" s="23"/>
    </row>
    <row r="75" spans="1:10" ht="11.25" customHeight="1" x14ac:dyDescent="0.2">
      <c r="A75" s="19"/>
      <c r="B75" s="43" t="s">
        <v>466</v>
      </c>
      <c r="C75" s="56">
        <f>VLOOKUP(A3,Data!A1:AQ88,32,FALSE)</f>
        <v>0.77680000000000005</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7.3599999999999999E-2</v>
      </c>
      <c r="E90" s="23"/>
      <c r="F90" s="23"/>
      <c r="G90" s="23"/>
      <c r="H90" s="23"/>
      <c r="I90" s="23"/>
      <c r="J90" s="23"/>
    </row>
    <row r="91" spans="1:10" ht="11.25" customHeight="1" x14ac:dyDescent="0.2">
      <c r="A91" s="19"/>
      <c r="B91" s="43" t="s">
        <v>466</v>
      </c>
      <c r="C91" s="56">
        <f>VLOOKUP(A3,Data!A1:AQ88,38,FALSE)</f>
        <v>0.12809999999999999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0.45200000000000001</v>
      </c>
      <c r="E98" s="23"/>
      <c r="F98" s="23"/>
      <c r="G98" s="23"/>
      <c r="H98" s="23"/>
      <c r="I98" s="23"/>
      <c r="J98" s="23"/>
    </row>
    <row r="99" spans="1:10" ht="11.25" customHeight="1" x14ac:dyDescent="0.2">
      <c r="A99" s="19"/>
      <c r="B99" s="43" t="s">
        <v>466</v>
      </c>
      <c r="C99" s="56">
        <f>VLOOKUP(A3,Data!A1:AQ88,41,FALSE)</f>
        <v>0.38500000000000001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17.5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17.5</v>
      </c>
      <c r="C104" s="63">
        <f>VLOOKUP(A3,Data!A1:AQ88,42,FALSE)</f>
        <v>1</v>
      </c>
      <c r="D104" s="99">
        <f>SUM(A104:C104)</f>
        <v>35.5</v>
      </c>
      <c r="E104" s="63">
        <f>VLOOKUP(A3,Data!A1:AQ88,43,FALSE)</f>
        <v>40</v>
      </c>
      <c r="F104" s="33">
        <f>D104/E104</f>
        <v>0.88749999999999996</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ImpbmlORpMVgdFzyhHByfp8XhzbKfjTbUcULaAsdXEDEwKSZQxtoo0ufphor5XPsqUOwQ4GfU/tyt/JSAPJN6A==" saltValue="y2v/W8SGuYyu+fB3X++Qn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2023-09-06T13:27:40Z</dcterms:modified>
</cp:coreProperties>
</file>