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E7C2B591-570F-499E-AE48-FFF6BEEBA0B0}" xr6:coauthVersionLast="47" xr6:coauthVersionMax="47" xr10:uidLastSave="{00000000-0000-0000-0000-000000000000}"/>
  <workbookProtection workbookAlgorithmName="SHA-512" workbookHashValue="XJsADUSJV7amfVq7wHTAB8oorruVHfhbuqsDac7G8PTRUXA71BxJRRVo7jxTma7EZ3SZH/ocyHolTdByitTd/g==" workbookSaltValue="OHr9mqnnS2eR7BwEDmpXLA=="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<sst xmlns="http://schemas.openxmlformats.org/spreadsheetml/2006/main" count="2581" uniqueCount="605">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</sst>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0.33329999999999999</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0.35289999999999999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0.76470000000000005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0.23530000000000001</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0.8125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0.33329999999999999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0.47060000000000002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0.96</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0.32142857142857101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3.4482758620689703E-2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0.57142857142857095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0.32142857142857101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3.4482758620689703E-2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0.32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0.66669999999999996</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0.66666666666666696</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0.33333333333333298</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0.66666666666666696</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0.34884169884169902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0.39038770770055398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0.33333333333333298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0.32722007722007701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0.24012864034304099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0.33329999999999999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0.35857142857142899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0.71899999999999997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0.1903</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0.33329999999999999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0.23530000000000001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0.35289999999999999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6.0000000000000001E-3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0.3256</c:v>
                </c:pt>
                <c:pt idx="3">
                  <c:v>0.3448</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0.33329999999999999</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0.35289999999999999</c:v>
                </c:pt>
                <c:pt idx="3">
                  <c:v>0.53849999999999998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0.30230000000000001</c:v>
                </c:pt>
                <c:pt idx="3">
                  <c:v>0.3448</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0.69230000000000003</c:v>
                </c:pt>
                <c:pt idx="3">
                  <c:v>0.71899999999999997</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0.10059999999999999</c:v>
                </c:pt>
                <c:pt idx="3">
                  <c:v>0.15679999999999999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0.13300000000000001</c:v>
                </c:pt>
                <c:pt idx="3">
                  <c:v>0.5</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6.9000000000000006E-2</c:v>
                </c:pt>
                <c:pt idx="3">
                  <c:v>9.3799999999999994E-2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9.3799999999999994E-2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0.875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28</v>
      </c>
      <c r="B3" s="36"/>
      <c r="C3" s="36"/>
      <c r="D3" s="36"/>
      <c r="E3" s="36"/>
      <c r="F3" s="36"/>
      <c r="G3" s="36"/>
      <c r="H3" s="36"/>
      <c r="I3" s="36"/>
      <c r="J3" s="36"/>
      <c r="K3" s="36"/>
      <c r="L3" s="36"/>
      <c r="M3" s="36"/>
      <c r="N3" s="36"/>
      <c r="O3" s="10"/>
    </row>
    <row r="4" spans="1:20" s="9" customFormat="1" ht="11.25" x14ac:dyDescent="0.2">
      <c r="A4" s="9" t="str">
        <f>+VLOOKUP(A3,'Old Data'!A1:CM88,2,FALSE)</f>
        <v>335 West Front Street</v>
      </c>
      <c r="C4" s="12"/>
      <c r="E4" s="12"/>
      <c r="F4" s="12"/>
    </row>
    <row r="5" spans="1:20" s="9" customFormat="1" ht="11.25" x14ac:dyDescent="0.2">
      <c r="A5" s="9" t="str">
        <f>+VLOOKUP(A3,'Old Data'!A1:CM88,3,FALSE)</f>
        <v>Iva</v>
      </c>
      <c r="C5" s="12"/>
      <c r="E5" s="12"/>
      <c r="F5" s="12"/>
      <c r="G5" s="12" t="str">
        <f>+VLOOKUP(A3,'Old Data'!A1:CM88,4,FALSE)</f>
        <v>SC</v>
      </c>
      <c r="H5" s="12"/>
      <c r="I5" s="12">
        <f>+VLOOKUP(A3,'Old Data'!A1:CM88,5,FALSE)</f>
        <v>29655</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0.35289999999999999</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0.23530000000000001</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0.96</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0.32142857142857101</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3.4482758620689703E-2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0.57142857142857095</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0.32142857142857101</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3.4482758620689703E-2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0.32</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1</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0.66666666666666696</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0.33333333333333298</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1</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0.66666666666666696</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0.34884169884169902</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0.39038770770055398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0.33333333333333298</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0.32722007722007701</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0.24012864034304099</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0.35857142857142899</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0.71899999999999997</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0.1903</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6.0000000000000001E-3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0.33329999999999999</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0.33329999999999999</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0.66669999999999996</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0.33329999999999999</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0.33329999999999999</v>
      </c>
      <c r="H127" s="66" t="s">
        <v>1</v>
      </c>
      <c r="I127" s="11" t="str">
        <f>IF(OR(G127="NA",G127="**"),"NA",IF(G127&gt;C127,"Not Met","Met"))</f>
        <v>Not 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0.875</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0.35289999999999999</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0.76470000000000005</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0.23530000000000001</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0.8125</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0.47060000000000002</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t="str">
        <f>VLOOKUP(A3,'Old Data'!A1:CM88,85,FALSE)</f>
        <v>NA</v>
      </c>
      <c r="H180" s="66" t="s">
        <v>1</v>
      </c>
      <c r="I180" s="11" t="str">
        <f t="shared" si="3"/>
        <v>NA</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0.33329999999999999</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i5BNhGoVWi2pye8wTMQz1VsNDG3j27SIqsTY3l76aWNOzd9CK+63lJXch50XCSKBnbwM1l0qrGneWtrnz+WoHw==" saltValue="WsxB3rSFiTGB8nQcJTVKF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28</v>
      </c>
      <c r="B3" s="36"/>
      <c r="C3" s="36"/>
      <c r="D3" s="36"/>
      <c r="E3" s="36"/>
      <c r="F3" s="36"/>
      <c r="G3" s="36"/>
      <c r="H3" s="10"/>
      <c r="I3" s="10"/>
      <c r="J3" s="10"/>
    </row>
    <row r="4" spans="1:10" x14ac:dyDescent="0.2">
      <c r="A4" s="9" t="str">
        <f>VLOOKUP(A3,Data!A1:AQ88,2,FALSE)</f>
        <v>335 West Front Street</v>
      </c>
    </row>
    <row r="5" spans="1:10" x14ac:dyDescent="0.2">
      <c r="A5" s="9" t="str">
        <f>VLOOKUP(A3,Data!A1:AQ88,3,FALSE)</f>
        <v>Iva</v>
      </c>
      <c r="C5" s="12" t="str">
        <f>VLOOKUP(A3,Data!A1:AQ88,4,FALSE)</f>
        <v>SC</v>
      </c>
      <c r="D5" s="12">
        <f>VLOOKUP(A3,Data!A1:AQ88,5,FALSE)</f>
        <v>29655</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0.35289999999999999</v>
      </c>
      <c r="E34" s="23"/>
      <c r="F34" s="23"/>
      <c r="G34" s="23"/>
      <c r="H34" s="23"/>
      <c r="I34" s="23"/>
      <c r="J34" s="23"/>
    </row>
    <row r="35" spans="1:10" ht="11.25" customHeight="1" x14ac:dyDescent="0.2">
      <c r="A35" s="19"/>
      <c r="B35" s="43" t="s">
        <v>466</v>
      </c>
      <c r="C35" s="56">
        <f>VLOOKUP(A3,Data!A1:AQ88,17,FALSE)</f>
        <v>0.53849999999999998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current state target</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0.3256</v>
      </c>
      <c r="E42" s="23"/>
      <c r="F42" s="23"/>
      <c r="G42" s="23"/>
      <c r="H42" s="23"/>
      <c r="I42" s="23"/>
      <c r="J42" s="23"/>
    </row>
    <row r="43" spans="1:10" ht="11.25" customHeight="1" x14ac:dyDescent="0.2">
      <c r="A43" s="19"/>
      <c r="B43" s="43" t="s">
        <v>466</v>
      </c>
      <c r="C43" s="56">
        <f>VLOOKUP(A3,Data!A1:AQ88,20,FALSE)</f>
        <v>0.3448</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6.9000000000000006E-2</v>
      </c>
      <c r="E50" s="23"/>
      <c r="F50" s="23"/>
      <c r="G50" s="23"/>
      <c r="H50" s="23"/>
      <c r="I50" s="23"/>
      <c r="J50" s="23"/>
    </row>
    <row r="51" spans="1:10" ht="11.25" customHeight="1" x14ac:dyDescent="0.2">
      <c r="A51" s="19"/>
      <c r="B51" s="43" t="s">
        <v>466</v>
      </c>
      <c r="C51" s="56">
        <f>VLOOKUP(A3,Data!A1:AQ88,23,FALSE)</f>
        <v>9.3799999999999994E-2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0.30230000000000001</v>
      </c>
      <c r="E58" s="23"/>
      <c r="F58" s="23"/>
      <c r="G58" s="23"/>
      <c r="H58" s="23"/>
      <c r="I58" s="23"/>
      <c r="J58" s="23"/>
    </row>
    <row r="59" spans="1:10" ht="11.25" customHeight="1" x14ac:dyDescent="0.2">
      <c r="A59" s="19"/>
      <c r="B59" s="43" t="s">
        <v>466</v>
      </c>
      <c r="C59" s="56">
        <f>VLOOKUP(A3,Data!A1:AQ88,26,FALSE)</f>
        <v>0.3448</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prior year’s state performance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v>
      </c>
      <c r="E66" s="23"/>
      <c r="F66" s="23"/>
      <c r="G66" s="23"/>
      <c r="H66" s="23"/>
      <c r="I66" s="23"/>
      <c r="J66" s="23"/>
    </row>
    <row r="67" spans="1:10" ht="11.25" customHeight="1" x14ac:dyDescent="0.2">
      <c r="A67" s="19"/>
      <c r="B67" s="43" t="s">
        <v>466</v>
      </c>
      <c r="C67" s="56">
        <f>VLOOKUP(A3,Data!A1:AQ88,29,FALSE)</f>
        <v>9.3799999999999994E-2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0.69230000000000003</v>
      </c>
      <c r="E74" s="23"/>
      <c r="F74" s="23"/>
      <c r="G74" s="23"/>
      <c r="H74" s="23"/>
      <c r="I74" s="23"/>
      <c r="J74" s="23"/>
    </row>
    <row r="75" spans="1:10" ht="11.25" customHeight="1" x14ac:dyDescent="0.2">
      <c r="A75" s="19"/>
      <c r="B75" s="43" t="s">
        <v>466</v>
      </c>
      <c r="C75" s="56">
        <f>VLOOKUP(A3,Data!A1:AQ88,32,FALSE)</f>
        <v>0.71899999999999997</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0.10059999999999999</v>
      </c>
      <c r="E90" s="23"/>
      <c r="F90" s="23"/>
      <c r="G90" s="23"/>
      <c r="H90" s="23"/>
      <c r="I90" s="23"/>
      <c r="J90" s="23"/>
    </row>
    <row r="91" spans="1:10" ht="11.25" customHeight="1" x14ac:dyDescent="0.2">
      <c r="A91" s="19"/>
      <c r="B91" s="43" t="s">
        <v>466</v>
      </c>
      <c r="C91" s="56">
        <f>VLOOKUP(A3,Data!A1:AQ88,38,FALSE)</f>
        <v>0.15679999999999999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3</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current state target</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0.13300000000000001</v>
      </c>
      <c r="E98" s="23"/>
      <c r="F98" s="23"/>
      <c r="G98" s="23"/>
      <c r="H98" s="23"/>
      <c r="I98" s="23"/>
      <c r="J98" s="23"/>
    </row>
    <row r="99" spans="1:10" ht="11.25" customHeight="1" x14ac:dyDescent="0.2">
      <c r="A99" s="19"/>
      <c r="B99" s="43" t="s">
        <v>466</v>
      </c>
      <c r="C99" s="56">
        <f>VLOOKUP(A3,Data!A1:AQ88,41,FALSE)</f>
        <v>0.5</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16</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16</v>
      </c>
      <c r="C104" s="63">
        <f>VLOOKUP(A3,Data!A1:AQ88,42,FALSE)</f>
        <v>1</v>
      </c>
      <c r="D104" s="99">
        <f>SUM(A104:C104)</f>
        <v>35</v>
      </c>
      <c r="E104" s="63">
        <f>VLOOKUP(A3,Data!A1:AQ88,43,FALSE)</f>
        <v>40</v>
      </c>
      <c r="F104" s="33">
        <f>D104/E104</f>
        <v>0.875</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AdwKtprdViJwd/lYO0cXcUFb/mLM91QPBttgWzW9KJ+FGrxuKviCscaAedb1/eeoJ4a/zROMox3zZ8iaOzligg==" saltValue="oON5+1OT/MekrX3ZADDH2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2023-09-06T13:27:42Z</dcterms:modified>
</cp:coreProperties>
</file>