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AD6BA2FC-2037-4CD8-AEB7-5A5BEFD83052}" xr6:coauthVersionLast="47" xr6:coauthVersionMax="47" xr10:uidLastSave="{00000000-0000-0000-0000-000000000000}"/>
  <workbookProtection workbookAlgorithmName="SHA-512" workbookHashValue="HUY2Bu6xv3QPmO1ss34zu85pW0RPPDt3U2TmXk+jJze79ml1x2nGPN666+175gjmgBaFBr6GljV8Fw7lR1pm7A==" workbookSaltValue="zxv/OyJltfpItSzQbeVGEg=="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<sst xmlns="http://schemas.openxmlformats.org/spreadsheetml/2006/main" count="2581" uniqueCount="605">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</sst>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0.5</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0.6774</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0.9</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0.6452</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0.33329999999999999</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0.9032</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1</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0.25</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7.4074074074074098E-2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0.55555555555555602</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0.1875</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0.54545454545454497</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0.5</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0.33329999999999999</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1</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0.5</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1</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0.5</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0.37626262626262602</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0.48054777466542198</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0.36044444444444401</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0.41048994974874398</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0.40336134453781503</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0.33329999999999999</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0.201604278074866</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0.7571</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0.18160000000000001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0.18179999999999999</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0.63639999999999997</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0.72729999999999995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0.24390000000000001</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0.68289999999999995</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2.12E-2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0.3871</c:v>
                </c:pt>
                <c:pt idx="3">
                  <c:v>0.26469999999999999</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0.16669999999999999</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0.68289999999999995</c:v>
                </c:pt>
                <c:pt idx="3">
                  <c:v>0.63639999999999997</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0.4194</c:v>
                </c:pt>
                <c:pt idx="3">
                  <c:v>0.2059</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0.75680000000000003</c:v>
                </c:pt>
                <c:pt idx="3">
                  <c:v>0.7571</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7.6200000000000004E-2</c:v>
                </c:pt>
                <c:pt idx="3">
                  <c:v>4.7500000000000001E-2</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0.24399999999999999</c:v>
                </c:pt>
                <c:pt idx="3">
                  <c:v>0.32300000000000001</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0.375</c:v>
                </c:pt>
                <c:pt idx="3">
                  <c:v>0.1071</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0.2258</c:v>
                </c:pt>
                <c:pt idx="3">
                  <c:v>3.5700000000000003E-2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0.9</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29</v>
      </c>
      <c r="B3" s="36"/>
      <c r="C3" s="36"/>
      <c r="D3" s="36"/>
      <c r="E3" s="36"/>
      <c r="F3" s="36"/>
      <c r="G3" s="36"/>
      <c r="H3" s="36"/>
      <c r="I3" s="36"/>
      <c r="J3" s="36"/>
      <c r="K3" s="36"/>
      <c r="L3" s="36"/>
      <c r="M3" s="36"/>
      <c r="N3" s="36"/>
      <c r="O3" s="10"/>
    </row>
    <row r="4" spans="1:20" s="9" customFormat="1" ht="11.25" x14ac:dyDescent="0.2">
      <c r="A4" s="9" t="str">
        <f>+VLOOKUP(A3,'Old Data'!A1:CM88,2,FALSE)</f>
        <v>315 East Queen Street</v>
      </c>
      <c r="C4" s="12"/>
      <c r="E4" s="12"/>
      <c r="F4" s="12"/>
    </row>
    <row r="5" spans="1:20" s="9" customFormat="1" ht="11.25" x14ac:dyDescent="0.2">
      <c r="A5" s="9" t="str">
        <f>+VLOOKUP(A3,'Old Data'!A1:CM88,3,FALSE)</f>
        <v>Pendleton</v>
      </c>
      <c r="C5" s="12"/>
      <c r="E5" s="12"/>
      <c r="F5" s="12"/>
      <c r="G5" s="12" t="str">
        <f>+VLOOKUP(A3,'Old Data'!A1:CM88,4,FALSE)</f>
        <v>SC</v>
      </c>
      <c r="H5" s="12"/>
      <c r="I5" s="12">
        <f>+VLOOKUP(A3,'Old Data'!A1:CM88,5,FALSE)</f>
        <v>29670</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0.68289999999999995</v>
      </c>
      <c r="H11" s="66" t="s">
        <v>1</v>
      </c>
      <c r="I11" s="11" t="str">
        <f t="shared" ref="I11" si="0">IF(OR(G11="NA",G11="**"),"NA",IF(G11&lt;C11,"Not Met","Met"))</f>
        <v>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0.24390000000000001</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1</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1</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1</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1</v>
      </c>
      <c r="H34" s="66" t="s">
        <v>1</v>
      </c>
      <c r="I34" s="11" t="str">
        <f>IF(OR(G34="NA",G34="**"),"NA",IF(G34&lt;C34,"Not Met","Met"))</f>
        <v>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0.25</v>
      </c>
      <c r="H37" s="66" t="s">
        <v>1</v>
      </c>
      <c r="I37" s="11" t="str">
        <f>IF(OR(G37="NA",G37="**"),"NA",IF(G37&lt;C37,"Not Met","Met"))</f>
        <v>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7.4074074074074098E-2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0.55555555555555602</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0.1875</v>
      </c>
      <c r="H46" s="66" t="s">
        <v>1</v>
      </c>
      <c r="I46" s="11" t="str">
        <f>IF(OR(G46="NA",G46="**"),"NA",IF(G46&lt;C46,"Not Met","Met"))</f>
        <v>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0.54545454545454497</v>
      </c>
      <c r="H52" s="66" t="s">
        <v>1</v>
      </c>
      <c r="I52" s="11" t="str">
        <f>IF(OR(G52="NA",G52="**"),"NA",IF(G52&lt;C52,"Not Met","Met"))</f>
        <v>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0.5</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1</v>
      </c>
      <c r="H58" s="66" t="s">
        <v>1</v>
      </c>
      <c r="I58" s="11" t="str">
        <f>IF(OR(G58="NA",G58="**"),"NA",IF(G58&lt;C58,"Not Met","Met"))</f>
        <v>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t="str">
        <f>VLOOKUP(A3,'Old Data'!A1:CM88,51,FALSE)</f>
        <v>NA</v>
      </c>
      <c r="H61" s="66" t="s">
        <v>1</v>
      </c>
      <c r="I61" s="11" t="str">
        <f>IF(OR(G61="NA",G61="**"),"NA",IF(G61&lt;C61,"Not Met","Met"))</f>
        <v>NA</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0.5</v>
      </c>
      <c r="H64" s="66" t="s">
        <v>1</v>
      </c>
      <c r="I64" s="11" t="str">
        <f>IF(OR(G64="NA",G64="**"),"NA",IF(G64&lt;C64,"Not Met","Met"))</f>
        <v>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1</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0.5</v>
      </c>
      <c r="H70" s="66" t="s">
        <v>1</v>
      </c>
      <c r="I70" s="11" t="str">
        <f>IF(OR(G70="NA",G70="**"),"NA",IF(G70&lt;C70,"Not Met","Met"))</f>
        <v>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0.37626262626262602</v>
      </c>
      <c r="H73" s="66" t="s">
        <v>1</v>
      </c>
      <c r="I73" s="11" t="str">
        <f>IF(OR(G73="NA",G73="**"),"NA",IF(G73&gt;C73,"Not Met","Met"))</f>
        <v>Not 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0.48054777466542198</v>
      </c>
      <c r="H76" s="66" t="s">
        <v>1</v>
      </c>
      <c r="I76" s="11" t="str">
        <f>IF(OR(G76="NA",G76="**"),"NA",IF(G76&gt;C76,"Not Met","Met"))</f>
        <v>Not 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0.36044444444444401</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0.41048994974874398</v>
      </c>
      <c r="H82" s="66" t="s">
        <v>1</v>
      </c>
      <c r="I82" s="11" t="str">
        <f>IF(OR(G82="NA",G82="**"),"NA",IF(G82&gt;C82,"Not Met","Met"))</f>
        <v>Not 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0.40336134453781503</v>
      </c>
      <c r="H85" s="66" t="s">
        <v>1</v>
      </c>
      <c r="I85" s="11" t="str">
        <f>IF(OR(G85="NA",G85="**"),"NA",IF(G85&gt;C85,"Not Met","Met"))</f>
        <v>Not 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0.201604278074866</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0.7571</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0.18160000000000001</v>
      </c>
      <c r="H102" s="66" t="s">
        <v>1</v>
      </c>
      <c r="I102" s="11" t="str">
        <f>IF(OR(G102="NA",G102="**"),"NA",IF(G102&gt;C102,"Not Met","Met"))</f>
        <v>Not 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2.12E-2</v>
      </c>
      <c r="H105" s="66" t="s">
        <v>1</v>
      </c>
      <c r="I105" s="11" t="str">
        <f>IF(OR(G105="NA",G105="**"),"NA",IF(G105&gt;C105,"Not Met","Met"))</f>
        <v>Not 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0.5</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0.33329999999999999</v>
      </c>
      <c r="H112" s="66" t="s">
        <v>1</v>
      </c>
      <c r="I112" s="11" t="str">
        <f t="shared" ref="I112:I180" si="3">IF(OR(G112="NA",G112="**"),"NA",IF(G112&lt;C112,"Not Met","Met"))</f>
        <v>Not 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t="str">
        <f>VLOOKUP(A3,'Old Data'!A1:CM88,68,FALSE)</f>
        <v>NA</v>
      </c>
      <c r="H115" s="66" t="s">
        <v>1</v>
      </c>
      <c r="I115" s="11" t="str">
        <f t="shared" si="3"/>
        <v>NA</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0.33329999999999999</v>
      </c>
      <c r="H118" s="66" t="s">
        <v>1</v>
      </c>
      <c r="I118" s="11" t="str">
        <f>IF(OR(G118="NA",G118="**"),"NA",IF(G118&gt;C118,"Not Met","Met"))</f>
        <v>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0.33329999999999999</v>
      </c>
      <c r="H121" s="66" t="s">
        <v>1</v>
      </c>
      <c r="I121" s="11" t="str">
        <f>IF(OR(G121="NA",G121="**"),"NA",IF(G121&gt;C121,"Not Met","Met"))</f>
        <v>Not 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t="str">
        <f>VLOOKUP(A3,'Old Data'!A1:CM88,71,FALSE)</f>
        <v>NA</v>
      </c>
      <c r="H124" s="66" t="s">
        <v>1</v>
      </c>
      <c r="I124" s="11" t="str">
        <f>IF(OR(G124="NA",G124="**"),"NA",IF(G124&gt;C124,"Not Met","Met"))</f>
        <v>NA</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0.16669999999999999</v>
      </c>
      <c r="H127" s="66" t="s">
        <v>1</v>
      </c>
      <c r="I127" s="11" t="str">
        <f>IF(OR(G127="NA",G127="**"),"NA",IF(G127&gt;C127,"Not Met","Met"))</f>
        <v>Not 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t="str">
        <f>VLOOKUP(A3,'Old Data'!A1:CM88,73,FALSE)</f>
        <v>NA</v>
      </c>
      <c r="H130" s="66" t="s">
        <v>1</v>
      </c>
      <c r="I130" s="11" t="str">
        <f>IF(OR(G130="NA",G130="**"),"NA",IF(G130&gt;C130,"Not Met","Met"))</f>
        <v>NA</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0.9</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0.6774</v>
      </c>
      <c r="H142" s="66" t="s">
        <v>1</v>
      </c>
      <c r="I142" s="11" t="str">
        <f t="shared" si="3"/>
        <v>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0.9</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0.6452</v>
      </c>
      <c r="H150" s="66" t="s">
        <v>1</v>
      </c>
      <c r="I150" s="11" t="str">
        <f t="shared" si="3"/>
        <v>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1</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0.9032</v>
      </c>
      <c r="H158" s="66" t="s">
        <v>1</v>
      </c>
      <c r="I158" s="11" t="str">
        <f t="shared" si="3"/>
        <v>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0.18179999999999999</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0.63639999999999997</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0.72729999999999995</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60xEzR5cnUhsThN7HnI+/vh8XF5Z9uUGFBHPw6lllV96vbFUGZlGsPxuxlP21c1sewLeWf+Cns3FcJJkkhQ0g==" saltValue="2PSAoK9e0VTHqL0L7f7YXg=="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29</v>
      </c>
      <c r="B3" s="36"/>
      <c r="C3" s="36"/>
      <c r="D3" s="36"/>
      <c r="E3" s="36"/>
      <c r="F3" s="36"/>
      <c r="G3" s="36"/>
      <c r="H3" s="10"/>
      <c r="I3" s="10"/>
      <c r="J3" s="10"/>
    </row>
    <row r="4" spans="1:10" x14ac:dyDescent="0.2">
      <c r="A4" s="9" t="str">
        <f>VLOOKUP(A3,Data!A1:AQ88,2,FALSE)</f>
        <v>315 East Queen Street</v>
      </c>
    </row>
    <row r="5" spans="1:10" x14ac:dyDescent="0.2">
      <c r="A5" s="9" t="str">
        <f>VLOOKUP(A3,Data!A1:AQ88,3,FALSE)</f>
        <v>Pendleton</v>
      </c>
      <c r="C5" s="12" t="str">
        <f>VLOOKUP(A3,Data!A1:AQ88,4,FALSE)</f>
        <v>SC</v>
      </c>
      <c r="D5" s="12">
        <f>VLOOKUP(A3,Data!A1:AQ88,5,FALSE)</f>
        <v>29670</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18</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2</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prior year’s state performance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0.68289999999999995</v>
      </c>
      <c r="E34" s="23"/>
      <c r="F34" s="23"/>
      <c r="G34" s="23"/>
      <c r="H34" s="23"/>
      <c r="I34" s="23"/>
      <c r="J34" s="23"/>
    </row>
    <row r="35" spans="1:10" ht="11.25" customHeight="1" x14ac:dyDescent="0.2">
      <c r="A35" s="19"/>
      <c r="B35" s="43" t="s">
        <v>466</v>
      </c>
      <c r="C35" s="56">
        <f>VLOOKUP(A3,Data!A1:AQ88,17,FALSE)</f>
        <v>0.63639999999999997</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1.5</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Meets or exceeds current state target</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0.3871</v>
      </c>
      <c r="E42" s="23"/>
      <c r="F42" s="23"/>
      <c r="G42" s="23"/>
      <c r="H42" s="23"/>
      <c r="I42" s="23"/>
      <c r="J42" s="23"/>
    </row>
    <row r="43" spans="1:10" ht="11.25" customHeight="1" x14ac:dyDescent="0.2">
      <c r="A43" s="19"/>
      <c r="B43" s="43" t="s">
        <v>466</v>
      </c>
      <c r="C43" s="56">
        <f>VLOOKUP(A3,Data!A1:AQ88,20,FALSE)</f>
        <v>0.26469999999999999</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prior year’s state performance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0.375</v>
      </c>
      <c r="E50" s="23"/>
      <c r="F50" s="23"/>
      <c r="G50" s="23"/>
      <c r="H50" s="23"/>
      <c r="I50" s="23"/>
      <c r="J50" s="23"/>
    </row>
    <row r="51" spans="1:10" ht="11.25" customHeight="1" x14ac:dyDescent="0.2">
      <c r="A51" s="19"/>
      <c r="B51" s="43" t="s">
        <v>466</v>
      </c>
      <c r="C51" s="56">
        <f>VLOOKUP(A3,Data!A1:AQ88,23,FALSE)</f>
        <v>0.1071</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and did not improve</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0.4194</v>
      </c>
      <c r="E58" s="23"/>
      <c r="F58" s="23"/>
      <c r="G58" s="23"/>
      <c r="H58" s="23"/>
      <c r="I58" s="23"/>
      <c r="J58" s="23"/>
    </row>
    <row r="59" spans="1:10" ht="11.25" customHeight="1" x14ac:dyDescent="0.2">
      <c r="A59" s="19"/>
      <c r="B59" s="43" t="s">
        <v>466</v>
      </c>
      <c r="C59" s="56">
        <f>VLOOKUP(A3,Data!A1:AQ88,26,FALSE)</f>
        <v>0.2059</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0.2258</v>
      </c>
      <c r="E66" s="23"/>
      <c r="F66" s="23"/>
      <c r="G66" s="23"/>
      <c r="H66" s="23"/>
      <c r="I66" s="23"/>
      <c r="J66" s="23"/>
    </row>
    <row r="67" spans="1:10" ht="11.25" customHeight="1" x14ac:dyDescent="0.2">
      <c r="A67" s="19"/>
      <c r="B67" s="43" t="s">
        <v>466</v>
      </c>
      <c r="C67" s="56">
        <f>VLOOKUP(A3,Data!A1:AQ88,29,FALSE)</f>
        <v>3.5700000000000003E-2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3</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current state target</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0.75680000000000003</v>
      </c>
      <c r="E74" s="23"/>
      <c r="F74" s="23"/>
      <c r="G74" s="23"/>
      <c r="H74" s="23"/>
      <c r="I74" s="23"/>
      <c r="J74" s="23"/>
    </row>
    <row r="75" spans="1:10" ht="11.25" customHeight="1" x14ac:dyDescent="0.2">
      <c r="A75" s="19"/>
      <c r="B75" s="43" t="s">
        <v>466</v>
      </c>
      <c r="C75" s="56">
        <f>VLOOKUP(A3,Data!A1:AQ88,32,FALSE)</f>
        <v>0.7571</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3</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current state target</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7.6200000000000004E-2</v>
      </c>
      <c r="E90" s="23"/>
      <c r="F90" s="23"/>
      <c r="G90" s="23"/>
      <c r="H90" s="23"/>
      <c r="I90" s="23"/>
      <c r="J90" s="23"/>
    </row>
    <row r="91" spans="1:10" ht="11.25" customHeight="1" x14ac:dyDescent="0.2">
      <c r="A91" s="19"/>
      <c r="B91" s="43" t="s">
        <v>466</v>
      </c>
      <c r="C91" s="56">
        <f>VLOOKUP(A3,Data!A1:AQ88,38,FALSE)</f>
        <v>4.7500000000000001E-2</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2</v>
      </c>
      <c r="C94" s="92" t="str">
        <f>IF(B94=0,"Does not meet prior year’s state performance and did not improve",
IF(B94=1,"Does not meet prior year’s state performance but improved since last year",
IF(B94=2,"Meets or exceeds prior year’s state performance",
IF(B94=3,"Meets or exceeds current state target",""))))</f>
        <v>Meets or exceeds prior year’s state performance</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0.24399999999999999</v>
      </c>
      <c r="E98" s="23"/>
      <c r="F98" s="23"/>
      <c r="G98" s="23"/>
      <c r="H98" s="23"/>
      <c r="I98" s="23"/>
      <c r="J98" s="23"/>
    </row>
    <row r="99" spans="1:10" ht="11.25" customHeight="1" x14ac:dyDescent="0.2">
      <c r="A99" s="19"/>
      <c r="B99" s="43" t="s">
        <v>466</v>
      </c>
      <c r="C99" s="56">
        <f>VLOOKUP(A3,Data!A1:AQ88,41,FALSE)</f>
        <v>0.32300000000000001</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15.5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18</v>
      </c>
      <c r="B104" s="99">
        <f>B101</f>
        <v>15.5</v>
      </c>
      <c r="C104" s="63">
        <f>VLOOKUP(A3,Data!A1:AQ88,42,FALSE)</f>
        <v>1</v>
      </c>
      <c r="D104" s="99">
        <f>SUM(A104:C104)</f>
        <v>34.5</v>
      </c>
      <c r="E104" s="63">
        <f>VLOOKUP(A3,Data!A1:AQ88,43,FALSE)</f>
        <v>40</v>
      </c>
      <c r="F104" s="33">
        <f>D104/E104</f>
        <v>0.86250000000000004</v>
      </c>
      <c r="G104" s="62" t="str">
        <f>IF(F104&gt;=0.8,"Meets Requirement",
IF(F104&gt;=0.6,"Needs Assistance",
IF(F104&gt;=0.3,"Needs Assistance",
IF(F104&lt;0.3,"Needs Assistance","NA"))))</f>
        <v>Meets Requirement</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OSBi1XRMK70JTfsaQ3dK8PxuaTfWfe1ujR5shQV0YPapURRRTrE0ilo1gUFuS9pXUsoH1T3P3Vx+g8fOb1RoXQ==" saltValue="5CHt/cBe5unzgyuRNgqOvg=="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2023-09-06T13:27:43Z</dcterms:modified>
</cp:coreProperties>
</file>