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51081974-0FA8-4DC1-8CC0-D6C5181B7936}" xr6:coauthVersionLast="47" xr6:coauthVersionMax="47" xr10:uidLastSave="{00000000-0000-0000-0000-000000000000}"/>
  <workbookProtection workbookAlgorithmName="SHA-512" workbookHashValue="5kih2lZnG1zOo4XpCOKZqlY8tXwnJOkchcc9miepgDzpYw+huceUaAKAQmr+qBjCksQEdpX6ROQmldwU85VP/A==" workbookSaltValue="PKtysHnZdyWh2pGlfqwdXQ=="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<sst xmlns="http://schemas.openxmlformats.org/spreadsheetml/2006/main" count="2581" uniqueCount="605">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</sst>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9.5200000000000007E-2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0.59089999999999998</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0.76400000000000001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0.57579999999999998</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0.87180000000000002</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0.21429999999999999</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0.67420000000000002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0.9677</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0.967741935483871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0.98290598290598297</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0.54549999999999998</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0.97674418604651203</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0.98290598290598297</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0.93814432989690699</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0.234939759036145</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5.7692307692307702E-2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0.36134453781512599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0.210843373493976</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3.8461538461538498E-2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0.273809523809524</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0.35714285714285698</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0.46810000000000002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0.18181818181818199</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0.42857142857142899</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0.214285714285714</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0.36363636363636398</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0.14285714285714299</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0.275986359590286</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0.45037220843672499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0.45919488127201102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0.259500018805712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0.36133705166937802</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0.1915</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0.28223443223443201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0.71240000000000003</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0.18240000000000001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0.99429999999999996</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0.15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0.7</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0.8</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0.39710000000000001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0.58819999999999995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5.7000000000000002E-3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0.967741935483871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0.2515</c:v>
                </c:pt>
                <c:pt idx="3">
                  <c:v>0.24440000000000001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0.58819999999999995</c:v>
                </c:pt>
                <c:pt idx="3">
                  <c:v>0.45540000000000003</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0.2455</c:v>
                </c:pt>
                <c:pt idx="3">
                  <c:v>0.21110000000000001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0.67090000000000005</c:v>
                </c:pt>
                <c:pt idx="3">
                  <c:v>0.71240000000000003</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6.9699999999999998E-2</c:v>
                </c:pt>
                <c:pt idx="3">
                  <c:v>0.14599999999999999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0.154</c:v>
                </c:pt>
                <c:pt idx="3">
                  <c:v>0.23200000000000001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6.3500000000000001E-2</c:v>
                </c:pt>
                <c:pt idx="3">
                  <c:v>6.9599999999999995E-2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0.12</c:v>
                </c:pt>
                <c:pt idx="3">
                  <c:v>6.9599999999999995E-2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0.82609999999999995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30</v>
      </c>
      <c r="B3" s="36"/>
      <c r="C3" s="36"/>
      <c r="D3" s="36"/>
      <c r="E3" s="36"/>
      <c r="F3" s="36"/>
      <c r="G3" s="36"/>
      <c r="H3" s="36"/>
      <c r="I3" s="36"/>
      <c r="J3" s="36"/>
      <c r="K3" s="36"/>
      <c r="L3" s="36"/>
      <c r="M3" s="36"/>
      <c r="N3" s="36"/>
      <c r="O3" s="10"/>
    </row>
    <row r="4" spans="1:20" s="9" customFormat="1" ht="11.25" x14ac:dyDescent="0.2">
      <c r="A4" s="9" t="str">
        <f>+VLOOKUP(A3,'Old Data'!A1:CM88,2,FALSE)</f>
        <v>400 Pearman Dairy Road</v>
      </c>
      <c r="C4" s="12"/>
      <c r="E4" s="12"/>
      <c r="F4" s="12"/>
    </row>
    <row r="5" spans="1:20" s="9" customFormat="1" ht="11.25" x14ac:dyDescent="0.2">
      <c r="A5" s="9" t="str">
        <f>+VLOOKUP(A3,'Old Data'!A1:CM88,3,FALSE)</f>
        <v>Anderson</v>
      </c>
      <c r="C5" s="12"/>
      <c r="E5" s="12"/>
      <c r="F5" s="12"/>
      <c r="G5" s="12" t="str">
        <f>+VLOOKUP(A3,'Old Data'!A1:CM88,4,FALSE)</f>
        <v>SC</v>
      </c>
      <c r="H5" s="12"/>
      <c r="I5" s="12">
        <f>+VLOOKUP(A3,'Old Data'!A1:CM88,5,FALSE)</f>
        <v>29625</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0.58819999999999995</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0.39710000000000001</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0.967741935483871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0.98290598290598297</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0.97674418604651203</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0.967741935483871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0.98290598290598297</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0.93814432989690699</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0.234939759036145</v>
      </c>
      <c r="H37" s="66" t="s">
        <v>1</v>
      </c>
      <c r="I37" s="11" t="str">
        <f>IF(OR(G37="NA",G37="**"),"NA",IF(G37&lt;C37,"Not Met","Met"))</f>
        <v>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5.7692307692307702E-2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0.36134453781512599</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0.210843373493976</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3.8461538461538498E-2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0.273809523809524</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0.35714285714285698</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0.18181818181818199</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0.42857142857142899</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0.214285714285714</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0.36363636363636398</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0.14285714285714299</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0.275986359590286</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0.45037220843672499</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0.45919488127201102</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0.259500018805712</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0.36133705166937802</v>
      </c>
      <c r="H85" s="66" t="s">
        <v>1</v>
      </c>
      <c r="I85" s="11" t="str">
        <f>IF(OR(G85="NA",G85="**"),"NA",IF(G85&gt;C85,"Not Met","Met"))</f>
        <v>Not 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0.28223443223443201</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0.71240000000000003</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0.18240000000000001</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5.7000000000000002E-3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9.5200000000000007E-2</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0.21429999999999999</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0.54549999999999998</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0.46810000000000002</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0.1915</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f>VLOOKUP(A3,'Old Data'!A1:CM88,74,FALSE)</f>
        <v>0</v>
      </c>
      <c r="H133" s="66" t="s">
        <v>1</v>
      </c>
      <c r="I133" s="11" t="str">
        <f>IF(OR(G133="NA",G133="**"),"NA",IF(G133&gt;C133,"Not Met","Met"))</f>
        <v>Met</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0.82609999999999995</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0.59089999999999998</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0.76400000000000001</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0.57579999999999998</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0.87180000000000002</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0.67420000000000002</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0.9677</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0.99429999999999996</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0.15</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0.7</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0.8</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K1rxwNaoQ7RCzoOj5PpC1gr89qgSLq7ig0DgLD5zzQ6i4Kghs2EN6xRx1PcyFZKhk9TPmbinlwvVdOTAovcVZA==" saltValue="gbXs7Vzm1Erg/sstZxczSQ=="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30</v>
      </c>
      <c r="B3" s="36"/>
      <c r="C3" s="36"/>
      <c r="D3" s="36"/>
      <c r="E3" s="36"/>
      <c r="F3" s="36"/>
      <c r="G3" s="36"/>
      <c r="H3" s="10"/>
      <c r="I3" s="10"/>
      <c r="J3" s="10"/>
    </row>
    <row r="4" spans="1:10" x14ac:dyDescent="0.2">
      <c r="A4" s="9" t="str">
        <f>VLOOKUP(A3,Data!A1:AQ88,2,FALSE)</f>
        <v>400 Pearman Dairy Road</v>
      </c>
    </row>
    <row r="5" spans="1:10" x14ac:dyDescent="0.2">
      <c r="A5" s="9" t="str">
        <f>VLOOKUP(A3,Data!A1:AQ88,3,FALSE)</f>
        <v>Anderson</v>
      </c>
      <c r="C5" s="12" t="str">
        <f>VLOOKUP(A3,Data!A1:AQ88,4,FALSE)</f>
        <v>SC</v>
      </c>
      <c r="D5" s="12">
        <f>VLOOKUP(A3,Data!A1:AQ88,5,FALSE)</f>
        <v>29625</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0.58819999999999995</v>
      </c>
      <c r="E34" s="23"/>
      <c r="F34" s="23"/>
      <c r="G34" s="23"/>
      <c r="H34" s="23"/>
      <c r="I34" s="23"/>
      <c r="J34" s="23"/>
    </row>
    <row r="35" spans="1:10" ht="11.25" customHeight="1" x14ac:dyDescent="0.2">
      <c r="A35" s="19"/>
      <c r="B35" s="43" t="s">
        <v>466</v>
      </c>
      <c r="C35" s="56">
        <f>VLOOKUP(A3,Data!A1:AQ88,17,FALSE)</f>
        <v>0.45540000000000003</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prior year’s state performance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0.2515</v>
      </c>
      <c r="E42" s="23"/>
      <c r="F42" s="23"/>
      <c r="G42" s="23"/>
      <c r="H42" s="23"/>
      <c r="I42" s="23"/>
      <c r="J42" s="23"/>
    </row>
    <row r="43" spans="1:10" ht="11.25" customHeight="1" x14ac:dyDescent="0.2">
      <c r="A43" s="19"/>
      <c r="B43" s="43" t="s">
        <v>466</v>
      </c>
      <c r="C43" s="56">
        <f>VLOOKUP(A3,Data!A1:AQ88,20,FALSE)</f>
        <v>0.24440000000000001</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but improved since last year</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6.3500000000000001E-2</v>
      </c>
      <c r="E50" s="23"/>
      <c r="F50" s="23"/>
      <c r="G50" s="23"/>
      <c r="H50" s="23"/>
      <c r="I50" s="23"/>
      <c r="J50" s="23"/>
    </row>
    <row r="51" spans="1:10" ht="11.25" customHeight="1" x14ac:dyDescent="0.2">
      <c r="A51" s="19"/>
      <c r="B51" s="43" t="s">
        <v>466</v>
      </c>
      <c r="C51" s="56">
        <f>VLOOKUP(A3,Data!A1:AQ88,23,FALSE)</f>
        <v>6.9599999999999995E-2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prior year’s state performance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0.2455</v>
      </c>
      <c r="E58" s="23"/>
      <c r="F58" s="23"/>
      <c r="G58" s="23"/>
      <c r="H58" s="23"/>
      <c r="I58" s="23"/>
      <c r="J58" s="23"/>
    </row>
    <row r="59" spans="1:10" ht="11.25" customHeight="1" x14ac:dyDescent="0.2">
      <c r="A59" s="19"/>
      <c r="B59" s="43" t="s">
        <v>466</v>
      </c>
      <c r="C59" s="56">
        <f>VLOOKUP(A3,Data!A1:AQ88,26,FALSE)</f>
        <v>0.21110000000000001</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0.12</v>
      </c>
      <c r="E66" s="23"/>
      <c r="F66" s="23"/>
      <c r="G66" s="23"/>
      <c r="H66" s="23"/>
      <c r="I66" s="23"/>
      <c r="J66" s="23"/>
    </row>
    <row r="67" spans="1:10" ht="11.25" customHeight="1" x14ac:dyDescent="0.2">
      <c r="A67" s="19"/>
      <c r="B67" s="43" t="s">
        <v>466</v>
      </c>
      <c r="C67" s="56">
        <f>VLOOKUP(A3,Data!A1:AQ88,29,FALSE)</f>
        <v>6.9599999999999995E-2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0.67090000000000005</v>
      </c>
      <c r="E74" s="23"/>
      <c r="F74" s="23"/>
      <c r="G74" s="23"/>
      <c r="H74" s="23"/>
      <c r="I74" s="23"/>
      <c r="J74" s="23"/>
    </row>
    <row r="75" spans="1:10" ht="11.25" customHeight="1" x14ac:dyDescent="0.2">
      <c r="A75" s="19"/>
      <c r="B75" s="43" t="s">
        <v>466</v>
      </c>
      <c r="C75" s="56">
        <f>VLOOKUP(A3,Data!A1:AQ88,32,FALSE)</f>
        <v>0.71240000000000003</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6.9699999999999998E-2</v>
      </c>
      <c r="E90" s="23"/>
      <c r="F90" s="23"/>
      <c r="G90" s="23"/>
      <c r="H90" s="23"/>
      <c r="I90" s="23"/>
      <c r="J90" s="23"/>
    </row>
    <row r="91" spans="1:10" ht="11.25" customHeight="1" x14ac:dyDescent="0.2">
      <c r="A91" s="19"/>
      <c r="B91" s="43" t="s">
        <v>466</v>
      </c>
      <c r="C91" s="56">
        <f>VLOOKUP(A3,Data!A1:AQ88,38,FALSE)</f>
        <v>0.14599999999999999</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0.154</v>
      </c>
      <c r="E98" s="23"/>
      <c r="F98" s="23"/>
      <c r="G98" s="23"/>
      <c r="H98" s="23"/>
      <c r="I98" s="23"/>
      <c r="J98" s="23"/>
    </row>
    <row r="99" spans="1:10" ht="11.25" customHeight="1" x14ac:dyDescent="0.2">
      <c r="A99" s="19"/>
      <c r="B99" s="43" t="s">
        <v>466</v>
      </c>
      <c r="C99" s="56">
        <f>VLOOKUP(A3,Data!A1:AQ88,41,FALSE)</f>
        <v>0.23200000000000001</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11.5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11.5</v>
      </c>
      <c r="C104" s="63">
        <f>VLOOKUP(A3,Data!A1:AQ88,42,FALSE)</f>
        <v>1</v>
      </c>
      <c r="D104" s="99">
        <f>SUM(A104:C104)</f>
        <v>29.5</v>
      </c>
      <c r="E104" s="63">
        <f>VLOOKUP(A3,Data!A1:AQ88,43,FALSE)</f>
        <v>40</v>
      </c>
      <c r="F104" s="33">
        <f>D104/E104</f>
        <v>0.73750000000000004</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cCqh/vUBPtU7xv7EtQe2dt22lENHaUWXc0ETRGWYff7ZvJPd/AnbX0UrXEwLKcRxNg+HDtw57bBGVaeXsQ4pNA==" saltValue="XGEqf5tzPsmqARuVFMSTI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2023-09-06T13:27:44Z</dcterms:modified>
</cp:coreProperties>
</file>