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FA0911E7-F76E-41EA-926F-716F0A71CBD8}" xr6:coauthVersionLast="47" xr6:coauthVersionMax="47" xr10:uidLastSave="{00000000-0000-0000-0000-000000000000}"/>
  <workbookProtection workbookAlgorithmName="SHA-512" workbookHashValue="n6JWZ2kkaMr93OQ4mJfrez+LWYQvv2iIC1noYnJq9265h8P89/+0wNioBusZ3ijKXlMjsdvp2qWiJ+of+yt+Jg==" workbookSaltValue="BaxoH6jAW09IJQkRz6PMZ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<sst xmlns="http://schemas.openxmlformats.org/spreadsheetml/2006/main" count="2581" uniqueCount="605">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</sst>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6.5000000000000002E-2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0.41710000000000003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0.93169999999999997</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0.45229999999999998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0.9466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0.99329999999999996</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0.49590000000000001</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0.56279999999999997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0.98280000000000001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0.99776785714285698</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0.962666666666667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0.48280000000000001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0.94919786096256697</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0.96533333333333304</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0.91066997518610404</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0.152542372881356</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9.5092024539877307E-2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0.46381578947368401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0.128329297820823</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3.64741641337386E-2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0.253869969040248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0.32352941176470601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0.24310000000000001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0.48571428571428599</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0.41176470588235298</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0.22857142857142901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0.42424242424242398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0.54545454545454497</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0.32092701487374597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0.33123607435754998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0.371135666836995</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0.23098770292156701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0.17273504507547099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0.4365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0.21461384697338101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0.47260000000000002</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0.17150000000000001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0.99619999999999997</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0.13039999999999999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0.63770000000000004</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0.68120000000000003</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0.30309999999999998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0.52259999999999995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5.7000000000000002E-3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0.99777282850779503</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0.1479</c:v>
                </c:pt>
                <c:pt idx="3">
                  <c:v>0.16550000000000001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8.0999999999999996E-3</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0.52259999999999995</c:v>
                </c:pt>
                <c:pt idx="3">
                  <c:v>0.53480000000000005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0.1573</c:v>
                </c:pt>
                <c:pt idx="3">
                  <c:v>0.13619999999999999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0.4194</c:v>
                </c:pt>
                <c:pt idx="3">
                  <c:v>0.47260000000000002</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7.2700000000000001E-2</c:v>
                </c:pt>
                <c:pt idx="3">
                  <c:v>0.16300000000000001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6.7000000000000004E-2</c:v>
                </c:pt>
                <c:pt idx="3">
                  <c:v>0.13700000000000001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0.1429</c:v>
                </c:pt>
                <c:pt idx="3">
                  <c:v>0.13300000000000001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0.11700000000000001</c:v>
                </c:pt>
                <c:pt idx="3">
                  <c:v>7.1800000000000003E-2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0.9556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37</v>
      </c>
      <c r="B3" s="36"/>
      <c r="C3" s="36"/>
      <c r="D3" s="36"/>
      <c r="E3" s="36"/>
      <c r="F3" s="36"/>
      <c r="G3" s="36"/>
      <c r="H3" s="36"/>
      <c r="I3" s="36"/>
      <c r="J3" s="36"/>
      <c r="K3" s="36"/>
      <c r="L3" s="36"/>
      <c r="M3" s="36"/>
      <c r="N3" s="36"/>
      <c r="O3" s="10"/>
    </row>
    <row r="4" spans="1:20" s="9" customFormat="1" ht="11.25" x14ac:dyDescent="0.2">
      <c r="A4" s="9" t="str">
        <f>+VLOOKUP(A3,'Old Data'!A1:CM88,2,FALSE)</f>
        <v>229 E. Main Street</v>
      </c>
      <c r="C4" s="12"/>
      <c r="E4" s="12"/>
      <c r="F4" s="12"/>
    </row>
    <row r="5" spans="1:20" s="9" customFormat="1" ht="11.25" x14ac:dyDescent="0.2">
      <c r="A5" s="9" t="str">
        <f>+VLOOKUP(A3,'Old Data'!A1:CM88,3,FALSE)</f>
        <v>Moncks Corner</v>
      </c>
      <c r="C5" s="12"/>
      <c r="E5" s="12"/>
      <c r="F5" s="12"/>
      <c r="G5" s="12" t="str">
        <f>+VLOOKUP(A3,'Old Data'!A1:CM88,4,FALSE)</f>
        <v>SC</v>
      </c>
      <c r="H5" s="12"/>
      <c r="I5" s="12">
        <f>+VLOOKUP(A3,'Old Data'!A1:CM88,5,FALSE)</f>
        <v>29461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0.52259999999999995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0.30309999999999998</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0.99776785714285698</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0.962666666666667</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0.94919786096256697</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0.99777282850779503</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0.96533333333333304</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0.91066997518610404</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0.152542372881356</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9.5092024539877307E-2</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0.46381578947368401</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0.128329297820823</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3.64741641337386E-2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0.253869969040248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0.32352941176470601</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0.48571428571428599</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0.41176470588235298</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0.22857142857142901</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0.42424242424242398</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0.54545454545454497</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0.32092701487374597</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0.33123607435754998</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0.371135666836995</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0.23098770292156701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0.17273504507547099</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0.21461384697338101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0.47260000000000002</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0.17150000000000001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5.7000000000000002E-3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6.5000000000000002E-2</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0.49590000000000001</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0.48280000000000001</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0.24310000000000001</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0.4365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8.0999999999999996E-3</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0.9556</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0.41710000000000003</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0.93169999999999997</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0.45229999999999998</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0.9466</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0.56279999999999997</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0.98280000000000001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0.99619999999999997</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0.99329999999999996</v>
      </c>
      <c r="H180" s="66" t="s">
        <v>1</v>
      </c>
      <c r="I180" s="11" t="str">
        <f t="shared" si="3"/>
        <v>Not 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0.13039999999999999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0.63770000000000004</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0.68120000000000003</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l5DOMLhffgUGap1/Hzld0uZkF3qIhlD5BzS/PMs1Y1nx+6zzYFQfgtphNeud3DzUDjLnAf5pI3VDmsPmhUs1qg==" saltValue="vNKi2kNDCjVz+KhFy+WQ3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37</v>
      </c>
      <c r="B3" s="36"/>
      <c r="C3" s="36"/>
      <c r="D3" s="36"/>
      <c r="E3" s="36"/>
      <c r="F3" s="36"/>
      <c r="G3" s="36"/>
      <c r="H3" s="10"/>
      <c r="I3" s="10"/>
      <c r="J3" s="10"/>
    </row>
    <row r="4" spans="1:10" x14ac:dyDescent="0.2">
      <c r="A4" s="9" t="str">
        <f>VLOOKUP(A3,Data!A1:AQ88,2,FALSE)</f>
        <v>229 E. Main Street</v>
      </c>
    </row>
    <row r="5" spans="1:10" x14ac:dyDescent="0.2">
      <c r="A5" s="9" t="str">
        <f>VLOOKUP(A3,Data!A1:AQ88,3,FALSE)</f>
        <v>Moncks Corner</v>
      </c>
      <c r="C5" s="12" t="str">
        <f>VLOOKUP(A3,Data!A1:AQ88,4,FALSE)</f>
        <v>SC</v>
      </c>
      <c r="D5" s="12">
        <f>VLOOKUP(A3,Data!A1:AQ88,5,FALSE)</f>
        <v>29461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1</v>
      </c>
      <c r="C20" s="92" t="str">
        <f>IF(B20=0,"2 or more consecutive years of findings of non-compliance (current year and previous year(s))",
IF(B20=1,"Findings of non-compliance in the current year",
IF(B20=2,"No findings of non-compliance","")))</f>
        <v>Findings of non-compliance in the current year</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1</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but improved since last year</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0.52259999999999995</v>
      </c>
      <c r="E34" s="23"/>
      <c r="F34" s="23"/>
      <c r="G34" s="23"/>
      <c r="H34" s="23"/>
      <c r="I34" s="23"/>
      <c r="J34" s="23"/>
    </row>
    <row r="35" spans="1:10" ht="11.25" customHeight="1" x14ac:dyDescent="0.2">
      <c r="A35" s="19"/>
      <c r="B35" s="43" t="s">
        <v>466</v>
      </c>
      <c r="C35" s="56">
        <f>VLOOKUP(A3,Data!A1:AQ88,17,FALSE)</f>
        <v>0.53480000000000005</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0.1479</v>
      </c>
      <c r="E42" s="23"/>
      <c r="F42" s="23"/>
      <c r="G42" s="23"/>
      <c r="H42" s="23"/>
      <c r="I42" s="23"/>
      <c r="J42" s="23"/>
    </row>
    <row r="43" spans="1:10" ht="11.25" customHeight="1" x14ac:dyDescent="0.2">
      <c r="A43" s="19"/>
      <c r="B43" s="43" t="s">
        <v>466</v>
      </c>
      <c r="C43" s="56">
        <f>VLOOKUP(A3,Data!A1:AQ88,20,FALSE)</f>
        <v>0.16550000000000001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0.1429</v>
      </c>
      <c r="E50" s="23"/>
      <c r="F50" s="23"/>
      <c r="G50" s="23"/>
      <c r="H50" s="23"/>
      <c r="I50" s="23"/>
      <c r="J50" s="23"/>
    </row>
    <row r="51" spans="1:10" ht="11.25" customHeight="1" x14ac:dyDescent="0.2">
      <c r="A51" s="19"/>
      <c r="B51" s="43" t="s">
        <v>466</v>
      </c>
      <c r="C51" s="56">
        <f>VLOOKUP(A3,Data!A1:AQ88,23,FALSE)</f>
        <v>0.13300000000000001</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0.1573</v>
      </c>
      <c r="E58" s="23"/>
      <c r="F58" s="23"/>
      <c r="G58" s="23"/>
      <c r="H58" s="23"/>
      <c r="I58" s="23"/>
      <c r="J58" s="23"/>
    </row>
    <row r="59" spans="1:10" ht="11.25" customHeight="1" x14ac:dyDescent="0.2">
      <c r="A59" s="19"/>
      <c r="B59" s="43" t="s">
        <v>466</v>
      </c>
      <c r="C59" s="56">
        <f>VLOOKUP(A3,Data!A1:AQ88,26,FALSE)</f>
        <v>0.13619999999999999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0.11700000000000001</v>
      </c>
      <c r="E66" s="23"/>
      <c r="F66" s="23"/>
      <c r="G66" s="23"/>
      <c r="H66" s="23"/>
      <c r="I66" s="23"/>
      <c r="J66" s="23"/>
    </row>
    <row r="67" spans="1:10" ht="11.25" customHeight="1" x14ac:dyDescent="0.2">
      <c r="A67" s="19"/>
      <c r="B67" s="43" t="s">
        <v>466</v>
      </c>
      <c r="C67" s="56">
        <f>VLOOKUP(A3,Data!A1:AQ88,29,FALSE)</f>
        <v>7.1800000000000003E-2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1</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but improved since last year</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0.4194</v>
      </c>
      <c r="E74" s="23"/>
      <c r="F74" s="23"/>
      <c r="G74" s="23"/>
      <c r="H74" s="23"/>
      <c r="I74" s="23"/>
      <c r="J74" s="23"/>
    </row>
    <row r="75" spans="1:10" ht="11.25" customHeight="1" x14ac:dyDescent="0.2">
      <c r="A75" s="19"/>
      <c r="B75" s="43" t="s">
        <v>466</v>
      </c>
      <c r="C75" s="56">
        <f>VLOOKUP(A3,Data!A1:AQ88,32,FALSE)</f>
        <v>0.47260000000000002</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7.2700000000000001E-2</v>
      </c>
      <c r="E90" s="23"/>
      <c r="F90" s="23"/>
      <c r="G90" s="23"/>
      <c r="H90" s="23"/>
      <c r="I90" s="23"/>
      <c r="J90" s="23"/>
    </row>
    <row r="91" spans="1:10" ht="11.25" customHeight="1" x14ac:dyDescent="0.2">
      <c r="A91" s="19"/>
      <c r="B91" s="43" t="s">
        <v>466</v>
      </c>
      <c r="C91" s="56">
        <f>VLOOKUP(A3,Data!A1:AQ88,38,FALSE)</f>
        <v>0.16300000000000001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6.7000000000000004E-2</v>
      </c>
      <c r="E98" s="23"/>
      <c r="F98" s="23"/>
      <c r="G98" s="23"/>
      <c r="H98" s="23"/>
      <c r="I98" s="23"/>
      <c r="J98" s="23"/>
    </row>
    <row r="99" spans="1:10" ht="11.25" customHeight="1" x14ac:dyDescent="0.2">
      <c r="A99" s="19"/>
      <c r="B99" s="43" t="s">
        <v>466</v>
      </c>
      <c r="C99" s="56">
        <f>VLOOKUP(A3,Data!A1:AQ88,41,FALSE)</f>
        <v>0.13700000000000001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7.5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7.5</v>
      </c>
      <c r="C104" s="63">
        <f>VLOOKUP(A3,Data!A1:AQ88,42,FALSE)</f>
        <v>1</v>
      </c>
      <c r="D104" s="99">
        <f>SUM(A104:C104)</f>
        <v>24.5</v>
      </c>
      <c r="E104" s="63">
        <f>VLOOKUP(A3,Data!A1:AQ88,43,FALSE)</f>
        <v>40</v>
      </c>
      <c r="F104" s="33">
        <f>D104/E104</f>
        <v>0.61250000000000004</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YdLIw25ElWfedte7uc9cMz8JcmdCh/WZIX0JWt53Fe/zMLMU7C2TBJ0Ha1+mhh7SVzeV5Y/wbzUN6R0scHzUww==" saltValue="UUgITrtQec597scsr6BnQ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2023-09-06T13:27:53Z</dcterms:modified>
</cp:coreProperties>
</file>