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A45B3FCE-E45F-4A01-8FE3-714F7963CBA1}" xr6:coauthVersionLast="47" xr6:coauthVersionMax="47" xr10:uidLastSave="{00000000-0000-0000-0000-000000000000}"/>
  <workbookProtection workbookAlgorithmName="SHA-512" workbookHashValue="eIQEVrn387PcOclPws7qa792VKVRDqFX+DdhkEF0HoheM77VUiuaz/1jkjKGZqs7zz1y4EMyUTh2R62LcORjLw==" workbookSaltValue="tllQm3AheKqDkVJYZOnojg=="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<sst xmlns="http://schemas.openxmlformats.org/spreadsheetml/2006/main" count="2581" uniqueCount="605">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</sst>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0</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0.8125</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0.75</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0.6875</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0.75</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0.875</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0</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1</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1</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1</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0.94117647058823495</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8.3333333333333301E-2</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0</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0.42857142857142899</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4.1666666666666699E-2</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0</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0.2</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0.5</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0.25</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0.5</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0.21918767507002801</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0.39682539682539703</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0.35191637630661998</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6.7577030812324898E-2</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0.238095238095238</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0.25</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0.38762886597938101</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0.40429999999999999</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0.3362</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0.5</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0.75</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0.75</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0.52170000000000005</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1.7000000000000001E-2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c:v>
                </c:pt>
                <c:pt idx="3">
                  <c:v>8.3299999999999999E-2</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0.52170000000000005</c:v>
                </c:pt>
                <c:pt idx="3">
                  <c:v>0.66669999999999996</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c:v>
                </c:pt>
                <c:pt idx="3">
                  <c:v>4.1700000000000001E-2</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0.4556</c:v>
                </c:pt>
                <c:pt idx="3">
                  <c:v>0.40429999999999999</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3.2300000000000002E-2</c:v>
                </c:pt>
                <c:pt idx="3">
                  <c:v>0.1583</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0.26300000000000001</c:v>
                </c:pt>
                <c:pt idx="3">
                  <c:v>0.33300000000000002</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0.1053</c:v>
                </c:pt>
                <c:pt idx="3">
                  <c:v>4.5499999999999999E-2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0.1053</c:v>
                </c:pt>
                <c:pt idx="3">
                  <c:v>9.0899999999999995E-2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0.90910000000000002</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38</v>
      </c>
      <c r="B3" s="36"/>
      <c r="C3" s="36"/>
      <c r="D3" s="36"/>
      <c r="E3" s="36"/>
      <c r="F3" s="36"/>
      <c r="G3" s="36"/>
      <c r="H3" s="36"/>
      <c r="I3" s="36"/>
      <c r="J3" s="36"/>
      <c r="K3" s="36"/>
      <c r="L3" s="36"/>
      <c r="M3" s="36"/>
      <c r="N3" s="36"/>
      <c r="O3" s="10"/>
    </row>
    <row r="4" spans="1:20" s="9" customFormat="1" ht="11.25" x14ac:dyDescent="0.2">
      <c r="A4" s="9" t="str">
        <f>+VLOOKUP(A3,'Old Data'!A1:CM88,2,FALSE)</f>
        <v>125 Herlong Avenue</v>
      </c>
      <c r="C4" s="12"/>
      <c r="E4" s="12"/>
      <c r="F4" s="12"/>
    </row>
    <row r="5" spans="1:20" s="9" customFormat="1" ht="11.25" x14ac:dyDescent="0.2">
      <c r="A5" s="9" t="str">
        <f>+VLOOKUP(A3,'Old Data'!A1:CM88,3,FALSE)</f>
        <v>St Matthews</v>
      </c>
      <c r="C5" s="12"/>
      <c r="E5" s="12"/>
      <c r="F5" s="12"/>
      <c r="G5" s="12" t="str">
        <f>+VLOOKUP(A3,'Old Data'!A1:CM88,4,FALSE)</f>
        <v>SC</v>
      </c>
      <c r="H5" s="12"/>
      <c r="I5" s="12">
        <f>+VLOOKUP(A3,'Old Data'!A1:CM88,5,FALSE)</f>
        <v>29135</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0.52170000000000005</v>
      </c>
      <c r="H11" s="66" t="s">
        <v>1</v>
      </c>
      <c r="I11" s="11" t="str">
        <f t="shared" ref="I11" si="0">IF(OR(G11="NA",G11="**"),"NA",IF(G11&lt;C11,"Not Met","Met"))</f>
        <v>Not 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v>
      </c>
      <c r="H15" s="66" t="s">
        <v>1</v>
      </c>
      <c r="I15" s="11" t="str">
        <f>IF(OR(G15="NA",G15="**"),"NA",IF(G15&gt;C15,"Not Met","Met"))</f>
        <v>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1</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1</v>
      </c>
      <c r="H22" s="66" t="s">
        <v>1</v>
      </c>
      <c r="I22" s="11" t="str">
        <f>IF(OR(G22="NA",G22="**"),"NA",IF(G22&lt;C22,"Not Met","Met"))</f>
        <v>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1</v>
      </c>
      <c r="H25" s="66" t="s">
        <v>1</v>
      </c>
      <c r="I25" s="11" t="str">
        <f>IF(OR(G25="NA",G25="**"),"NA",IF(G25&lt;C25,"Not Met","Met"))</f>
        <v>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1</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1</v>
      </c>
      <c r="H31" s="66" t="s">
        <v>1</v>
      </c>
      <c r="I31" s="11" t="str">
        <f>IF(OR(G31="NA",G31="**"),"NA",IF(G31&lt;C31,"Not Met","Met"))</f>
        <v>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0.94117647058823495</v>
      </c>
      <c r="H34" s="66" t="s">
        <v>1</v>
      </c>
      <c r="I34" s="11" t="str">
        <f>IF(OR(G34="NA",G34="**"),"NA",IF(G34&lt;C34,"Not Met","Met"))</f>
        <v>Not 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8.3333333333333301E-2</v>
      </c>
      <c r="H37" s="66" t="s">
        <v>1</v>
      </c>
      <c r="I37" s="11" t="str">
        <f>IF(OR(G37="NA",G37="**"),"NA",IF(G37&lt;C37,"Not Met","Met"))</f>
        <v>Not 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0</v>
      </c>
      <c r="H40" s="66" t="s">
        <v>1</v>
      </c>
      <c r="I40" s="11" t="str">
        <f>IF(OR(G40="NA",G40="**"),"NA",IF(G40&lt;C40,"Not Met","Met"))</f>
        <v>Not 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0.42857142857142899</v>
      </c>
      <c r="H43" s="66" t="s">
        <v>1</v>
      </c>
      <c r="I43" s="11" t="str">
        <f>IF(OR(G43="NA",G43="**"),"NA",IF(G43&lt;C43,"Not Met","Met"))</f>
        <v>Not 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4.1666666666666699E-2</v>
      </c>
      <c r="H46" s="66" t="s">
        <v>1</v>
      </c>
      <c r="I46" s="11" t="str">
        <f>IF(OR(G46="NA",G46="**"),"NA",IF(G46&lt;C46,"Not Met","Met"))</f>
        <v>Not 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0</v>
      </c>
      <c r="H49" s="66" t="s">
        <v>1</v>
      </c>
      <c r="I49" s="11" t="str">
        <f>IF(OR(G49="NA",G49="**"),"NA",IF(G49&lt;C49,"Not Met","Met"))</f>
        <v>Not 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0.2</v>
      </c>
      <c r="H52" s="66" t="s">
        <v>1</v>
      </c>
      <c r="I52" s="11" t="str">
        <f>IF(OR(G52="NA",G52="**"),"NA",IF(G52&lt;C52,"Not Met","Met"))</f>
        <v>Not 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t="str">
        <f>VLOOKUP(A3,'Old Data'!A1:CM88,49,FALSE)</f>
        <v>NA</v>
      </c>
      <c r="H55" s="66" t="s">
        <v>1</v>
      </c>
      <c r="I55" s="11" t="str">
        <f>IF(OR(G55="NA",G55="**"),"NA",IF(G55&lt;C55,"Not Met","Met"))</f>
        <v>NA</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0.25</v>
      </c>
      <c r="H58" s="66" t="s">
        <v>1</v>
      </c>
      <c r="I58" s="11" t="str">
        <f>IF(OR(G58="NA",G58="**"),"NA",IF(G58&lt;C58,"Not Met","Met"))</f>
        <v>Not 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f>VLOOKUP(A3,'Old Data'!A1:CM88,51,FALSE)</f>
        <v>0</v>
      </c>
      <c r="H61" s="66" t="s">
        <v>1</v>
      </c>
      <c r="I61" s="11" t="str">
        <f>IF(OR(G61="NA",G61="**"),"NA",IF(G61&lt;C61,"Not Met","Met"))</f>
        <v>Not Met</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t="str">
        <f>VLOOKUP(A3,'Old Data'!A1:CM88,52,FALSE)</f>
        <v>NA</v>
      </c>
      <c r="H64" s="66" t="s">
        <v>1</v>
      </c>
      <c r="I64" s="11" t="str">
        <f>IF(OR(G64="NA",G64="**"),"NA",IF(G64&lt;C64,"Not Met","Met"))</f>
        <v>NA</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0.5</v>
      </c>
      <c r="H67" s="66" t="s">
        <v>1</v>
      </c>
      <c r="I67" s="11" t="str">
        <f>IF(OR(G67="NA",G67="**"),"NA",IF(G67&lt;C67,"Not Met","Met"))</f>
        <v>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f>VLOOKUP(A3,'Old Data'!A1:CM88,54,FALSE)</f>
        <v>0</v>
      </c>
      <c r="H70" s="66" t="s">
        <v>1</v>
      </c>
      <c r="I70" s="11" t="str">
        <f>IF(OR(G70="NA",G70="**"),"NA",IF(G70&lt;C70,"Not Met","Met"))</f>
        <v>Not Met</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0.21918767507002801</v>
      </c>
      <c r="H73" s="66" t="s">
        <v>1</v>
      </c>
      <c r="I73" s="11" t="str">
        <f>IF(OR(G73="NA",G73="**"),"NA",IF(G73&gt;C73,"Not Met","Met"))</f>
        <v>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0.39682539682539703</v>
      </c>
      <c r="H76" s="66" t="s">
        <v>1</v>
      </c>
      <c r="I76" s="11" t="str">
        <f>IF(OR(G76="NA",G76="**"),"NA",IF(G76&gt;C76,"Not Met","Met"))</f>
        <v>Not 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0.35191637630661998</v>
      </c>
      <c r="H79" s="66" t="s">
        <v>1</v>
      </c>
      <c r="I79" s="11" t="str">
        <f>IF(OR(G79="NA",G79="**"),"NA",IF(G79&gt;C79,"Not Met","Met"))</f>
        <v>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6.7577030812324898E-2</v>
      </c>
      <c r="H82" s="66" t="s">
        <v>1</v>
      </c>
      <c r="I82" s="11" t="str">
        <f>IF(OR(G82="NA",G82="**"),"NA",IF(G82&gt;C82,"Not Met","Met"))</f>
        <v>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0.238095238095238</v>
      </c>
      <c r="H85" s="66" t="s">
        <v>1</v>
      </c>
      <c r="I85" s="11" t="str">
        <f>IF(OR(G85="NA",G85="**"),"NA",IF(G85&gt;C85,"Not Met","Met"))</f>
        <v>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0.38762886597938101</v>
      </c>
      <c r="H88" s="66" t="s">
        <v>1</v>
      </c>
      <c r="I88" s="11" t="str">
        <f>IF(OR(G88="NA",G88="**"),"NA",IF(G88&gt;C88,"Not Met","Met"))</f>
        <v>Not 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No</v>
      </c>
      <c r="H95" s="66" t="s">
        <v>1</v>
      </c>
      <c r="I95" s="11" t="str">
        <f>IF(OR(G95="NA",G95="**"),"NA",IF(G95="No","Met",IF(G95="Yes","Not Met")))</f>
        <v>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0.40429999999999999</v>
      </c>
      <c r="H99" s="66" t="s">
        <v>1</v>
      </c>
      <c r="I99" s="11" t="str">
        <f t="shared" ref="I99" si="2">IF(OR(G99="NA",G99="**"),"NA",IF(G99&lt;C99,"Not Met","Met"))</f>
        <v>Not 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0.3362</v>
      </c>
      <c r="H102" s="66" t="s">
        <v>1</v>
      </c>
      <c r="I102" s="11" t="str">
        <f>IF(OR(G102="NA",G102="**"),"NA",IF(G102&gt;C102,"Not Met","Met"))</f>
        <v>Not 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1.7000000000000001E-2</v>
      </c>
      <c r="H105" s="66" t="s">
        <v>1</v>
      </c>
      <c r="I105" s="11" t="str">
        <f>IF(OR(G105="NA",G105="**"),"NA",IF(G105&gt;C105,"Not Met","Met"))</f>
        <v>Not 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t="str">
        <f>VLOOKUP(A3,'Old Data'!A1:CM88,66,FALSE)</f>
        <v>NA</v>
      </c>
      <c r="H109" s="66" t="s">
        <v>1</v>
      </c>
      <c r="I109" s="11" t="str">
        <f>IF(OR(G109="NA",G109="**"),"NA",IF(G109&lt;C109,"Not Met","Met"))</f>
        <v>NA</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t="str">
        <f>VLOOKUP(A3,'Old Data'!A1:CM88,67,FALSE)</f>
        <v>NA</v>
      </c>
      <c r="H112" s="66" t="s">
        <v>1</v>
      </c>
      <c r="I112" s="11" t="str">
        <f t="shared" ref="I112:I180" si="3">IF(OR(G112="NA",G112="**"),"NA",IF(G112&lt;C112,"Not Met","Met"))</f>
        <v>NA</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t="str">
        <f>VLOOKUP(A3,'Old Data'!A1:CM88,68,FALSE)</f>
        <v>NA</v>
      </c>
      <c r="H115" s="66" t="s">
        <v>1</v>
      </c>
      <c r="I115" s="11" t="str">
        <f t="shared" si="3"/>
        <v>NA</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0.5</v>
      </c>
      <c r="H118" s="66" t="s">
        <v>1</v>
      </c>
      <c r="I118" s="11" t="str">
        <f>IF(OR(G118="NA",G118="**"),"NA",IF(G118&gt;C118,"Not Met","Met"))</f>
        <v>Not 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f>VLOOKUP(A3,'Old Data'!A1:CM88,70,FALSE)</f>
        <v>0.25</v>
      </c>
      <c r="H121" s="66" t="s">
        <v>1</v>
      </c>
      <c r="I121" s="11" t="str">
        <f>IF(OR(G121="NA",G121="**"),"NA",IF(G121&gt;C121,"Not Met","Met"))</f>
        <v>Met</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t="str">
        <f>VLOOKUP(A3,'Old Data'!A1:CM88,71,FALSE)</f>
        <v>NA</v>
      </c>
      <c r="H124" s="66" t="s">
        <v>1</v>
      </c>
      <c r="I124" s="11" t="str">
        <f>IF(OR(G124="NA",G124="**"),"NA",IF(G124&gt;C124,"Not Met","Met"))</f>
        <v>NA</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t="str">
        <f>VLOOKUP(A3,'Old Data'!A1:CM88,72,FALSE)</f>
        <v>NA</v>
      </c>
      <c r="H127" s="66" t="s">
        <v>1</v>
      </c>
      <c r="I127" s="11" t="str">
        <f>IF(OR(G127="NA",G127="**"),"NA",IF(G127&gt;C127,"Not Met","Met"))</f>
        <v>NA</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t="str">
        <f>VLOOKUP(A3,'Old Data'!A1:CM88,73,FALSE)</f>
        <v>NA</v>
      </c>
      <c r="H130" s="66" t="s">
        <v>1</v>
      </c>
      <c r="I130" s="11" t="str">
        <f>IF(OR(G130="NA",G130="**"),"NA",IF(G130&gt;C130,"Not Met","Met"))</f>
        <v>NA</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t="str">
        <f>VLOOKUP(A3,'Old Data'!A1:CM88,74,FALSE)</f>
        <v>NA</v>
      </c>
      <c r="H133" s="66" t="s">
        <v>1</v>
      </c>
      <c r="I133" s="11" t="str">
        <f>IF(OR(G133="NA",G133="**"),"NA",IF(G133&gt;C133,"Not Met","Met"))</f>
        <v>NA</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0.90910000000000002</v>
      </c>
      <c r="H138" s="66" t="s">
        <v>1</v>
      </c>
      <c r="I138" s="11" t="str">
        <f t="shared" si="3"/>
        <v>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0.8125</v>
      </c>
      <c r="H142" s="66" t="s">
        <v>1</v>
      </c>
      <c r="I142" s="11" t="str">
        <f t="shared" si="3"/>
        <v>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0.75</v>
      </c>
      <c r="H146" s="66" t="s">
        <v>1</v>
      </c>
      <c r="I146" s="11" t="str">
        <f t="shared" si="3"/>
        <v>Not 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0.6875</v>
      </c>
      <c r="H150" s="66" t="s">
        <v>1</v>
      </c>
      <c r="I150" s="11" t="str">
        <f t="shared" si="3"/>
        <v>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0.75</v>
      </c>
      <c r="H154" s="66" t="s">
        <v>1</v>
      </c>
      <c r="I154" s="11" t="str">
        <f t="shared" si="3"/>
        <v>Not 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0.875</v>
      </c>
      <c r="H158" s="66" t="s">
        <v>1</v>
      </c>
      <c r="I158" s="11" t="str">
        <f t="shared" si="3"/>
        <v>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t="str">
        <f>VLOOKUP(A3,'Old Data'!A1:CM88,81,FALSE)</f>
        <v>NA</v>
      </c>
      <c r="H162" s="66" t="s">
        <v>1</v>
      </c>
      <c r="I162" s="11" t="str">
        <f t="shared" ref="I162" si="4">IF(OR(G162="NA",G162="**"),"NA",IF(G162&lt;C162,"Not Met","Met"))</f>
        <v>NA</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1</v>
      </c>
      <c r="H175" s="66" t="s">
        <v>1</v>
      </c>
      <c r="I175" s="11" t="str">
        <f>IF(OR(G175="NA",G175="**"),"NA",IF(G175&lt;C175,"Not Met","Met"))</f>
        <v>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1</v>
      </c>
      <c r="H180" s="66" t="s">
        <v>1</v>
      </c>
      <c r="I180" s="11" t="str">
        <f t="shared" si="3"/>
        <v>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0.5</v>
      </c>
      <c r="H189" s="66" t="s">
        <v>1</v>
      </c>
      <c r="I189" s="11" t="str">
        <f t="shared" ref="I189" si="6">IF(OR(G189="NA",G189="**"),"NA",IF(G189&lt;C189,"Not Met","Met"))</f>
        <v>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0.75</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0.75</v>
      </c>
      <c r="H197" s="66" t="s">
        <v>1</v>
      </c>
      <c r="I197" s="11" t="str">
        <f t="shared" ref="I197" si="7">IF(OR(G197="NA",G197="**"),"NA",IF(G197&lt;C197,"Not Met","Met"))</f>
        <v>Not 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bhYGEyYqMCONapjMfYSx1/nKkL6DkdZ15vrgtZQUYV9bYQYqyQan88E85wpd+9ViC3lnAKlSQ1/Sjvv0oPwSMA==" saltValue="n36vHrO5J+bDJU8V/rBssA=="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38</v>
      </c>
      <c r="B3" s="36"/>
      <c r="C3" s="36"/>
      <c r="D3" s="36"/>
      <c r="E3" s="36"/>
      <c r="F3" s="36"/>
      <c r="G3" s="36"/>
      <c r="H3" s="10"/>
      <c r="I3" s="10"/>
      <c r="J3" s="10"/>
    </row>
    <row r="4" spans="1:10" x14ac:dyDescent="0.2">
      <c r="A4" s="9" t="str">
        <f>VLOOKUP(A3,Data!A1:AQ88,2,FALSE)</f>
        <v>125 Herlong Avenue</v>
      </c>
    </row>
    <row r="5" spans="1:10" x14ac:dyDescent="0.2">
      <c r="A5" s="9" t="str">
        <f>VLOOKUP(A3,Data!A1:AQ88,3,FALSE)</f>
        <v>St Matthews</v>
      </c>
      <c r="C5" s="12" t="str">
        <f>VLOOKUP(A3,Data!A1:AQ88,4,FALSE)</f>
        <v>SC</v>
      </c>
      <c r="D5" s="12">
        <f>VLOOKUP(A3,Data!A1:AQ88,5,FALSE)</f>
        <v>29135</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1</v>
      </c>
      <c r="C14" s="94" t="str">
        <f>IF(B14=0,"2 or more consecutive years of findings of non-compliance (current year and previous year(s))",
IF(B14=1,"Findings of non-compliance in the current year",
IF(B14=2,"No findings of non-compliance","")))</f>
        <v>Findings of non-compliance in the current year</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2</v>
      </c>
      <c r="C18" s="92" t="str">
        <f>IF(B18=0,"2 or more consecutive years of findings of non-compliance (current year and previous year(s))",
IF(B18=1,"Findings of non-compliance in the current year",
IF(B18=2,"No findings of non-compliance","")))</f>
        <v>No findings of non-compliance</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17</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2</v>
      </c>
      <c r="C30" s="92" t="str">
        <f>IF(B30=0,"Does not meet prior year’s state performance and did not improve",
IF(B30=1,"Does not meet prior year’s state performance but improved since last year",
IF(B30=2,"Meets or exceeds prior year’s state performance",
IF(B30=3,"Meets or exceeds current state target",""))))</f>
        <v>Meets or exceeds prior year’s state performance</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0.52170000000000005</v>
      </c>
      <c r="E34" s="23"/>
      <c r="F34" s="23"/>
      <c r="G34" s="23"/>
      <c r="H34" s="23"/>
      <c r="I34" s="23"/>
      <c r="J34" s="23"/>
    </row>
    <row r="35" spans="1:10" ht="11.25" customHeight="1" x14ac:dyDescent="0.2">
      <c r="A35" s="19"/>
      <c r="B35" s="43" t="s">
        <v>466</v>
      </c>
      <c r="C35" s="56">
        <f>VLOOKUP(A3,Data!A1:AQ88,17,FALSE)</f>
        <v>0.66669999999999996</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0.5</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Does not meet prior year’s state performance but improved since last year</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0</v>
      </c>
      <c r="E42" s="23"/>
      <c r="F42" s="23"/>
      <c r="G42" s="23"/>
      <c r="H42" s="23"/>
      <c r="I42" s="23"/>
      <c r="J42" s="23"/>
    </row>
    <row r="43" spans="1:10" ht="11.25" customHeight="1" x14ac:dyDescent="0.2">
      <c r="A43" s="19"/>
      <c r="B43" s="43" t="s">
        <v>466</v>
      </c>
      <c r="C43" s="56">
        <f>VLOOKUP(A3,Data!A1:AQ88,20,FALSE)</f>
        <v>8.3299999999999999E-2</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0</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Does not meet prior year’s state performance and did not improve</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0.1053</v>
      </c>
      <c r="E50" s="23"/>
      <c r="F50" s="23"/>
      <c r="G50" s="23"/>
      <c r="H50" s="23"/>
      <c r="I50" s="23"/>
      <c r="J50" s="23"/>
    </row>
    <row r="51" spans="1:10" ht="11.25" customHeight="1" x14ac:dyDescent="0.2">
      <c r="A51" s="19"/>
      <c r="B51" s="43" t="s">
        <v>466</v>
      </c>
      <c r="C51" s="56">
        <f>VLOOKUP(A3,Data!A1:AQ88,23,FALSE)</f>
        <v>4.5499999999999999E-2</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0.5</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Does not meet prior year’s state performance but improved since last year</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0</v>
      </c>
      <c r="E58" s="23"/>
      <c r="F58" s="23"/>
      <c r="G58" s="23"/>
      <c r="H58" s="23"/>
      <c r="I58" s="23"/>
      <c r="J58" s="23"/>
    </row>
    <row r="59" spans="1:10" ht="11.25" customHeight="1" x14ac:dyDescent="0.2">
      <c r="A59" s="19"/>
      <c r="B59" s="43" t="s">
        <v>466</v>
      </c>
      <c r="C59" s="56">
        <f>VLOOKUP(A3,Data!A1:AQ88,26,FALSE)</f>
        <v>4.1700000000000001E-2</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1</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Meets or exceeds prior year’s state performance</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0.1053</v>
      </c>
      <c r="E66" s="23"/>
      <c r="F66" s="23"/>
      <c r="G66" s="23"/>
      <c r="H66" s="23"/>
      <c r="I66" s="23"/>
      <c r="J66" s="23"/>
    </row>
    <row r="67" spans="1:10" ht="11.25" customHeight="1" x14ac:dyDescent="0.2">
      <c r="A67" s="19"/>
      <c r="B67" s="43" t="s">
        <v>466</v>
      </c>
      <c r="C67" s="56">
        <f>VLOOKUP(A3,Data!A1:AQ88,29,FALSE)</f>
        <v>9.0899999999999995E-2</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0</v>
      </c>
      <c r="C70" s="92" t="str">
        <f>IF(B70=0,"Does not meet prior year’s state performance and did not improve",
IF(B70=1,"Does not meet prior year’s state performance but improved since last year",
IF(B70=2,"Meets or exceeds prior year’s state performance",
IF(B70=3,"Meets or exceeds current state target",""))))</f>
        <v>Does not meet prior year’s state performance and did not improve</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0.4556</v>
      </c>
      <c r="E74" s="23"/>
      <c r="F74" s="23"/>
      <c r="G74" s="23"/>
      <c r="H74" s="23"/>
      <c r="I74" s="23"/>
      <c r="J74" s="23"/>
    </row>
    <row r="75" spans="1:10" ht="11.25" customHeight="1" x14ac:dyDescent="0.2">
      <c r="A75" s="19"/>
      <c r="B75" s="43" t="s">
        <v>466</v>
      </c>
      <c r="C75" s="56">
        <f>VLOOKUP(A3,Data!A1:AQ88,32,FALSE)</f>
        <v>0.40429999999999999</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0</v>
      </c>
      <c r="C86" s="92" t="str">
        <f>IF(B86=0,"Does not meet prior year’s state performance and did not improve",
IF(B86=1,"Does not meet prior year’s state performance but improved since last year",
IF(B86=2,"Meets or exceeds prior year’s state performance",
IF(B86=3,"Meets or exceeds current state target",""))))</f>
        <v>Does not meet prior year’s state performance and did not improve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3.2300000000000002E-2</v>
      </c>
      <c r="E90" s="23"/>
      <c r="F90" s="23"/>
      <c r="G90" s="23"/>
      <c r="H90" s="23"/>
      <c r="I90" s="23"/>
      <c r="J90" s="23"/>
    </row>
    <row r="91" spans="1:10" ht="11.25" customHeight="1" x14ac:dyDescent="0.2">
      <c r="A91" s="19"/>
      <c r="B91" s="43" t="s">
        <v>466</v>
      </c>
      <c r="C91" s="56">
        <f>VLOOKUP(A3,Data!A1:AQ88,38,FALSE)</f>
        <v>0.1583</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2</v>
      </c>
      <c r="C94" s="92" t="str">
        <f>IF(B94=0,"Does not meet prior year’s state performance and did not improve",
IF(B94=1,"Does not meet prior year’s state performance but improved since last year",
IF(B94=2,"Meets or exceeds prior year’s state performance",
IF(B94=3,"Meets or exceeds current state target",""))))</f>
        <v>Meets or exceeds prior year’s state performance</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0.26300000000000001</v>
      </c>
      <c r="E98" s="23"/>
      <c r="F98" s="23"/>
      <c r="G98" s="23"/>
      <c r="H98" s="23"/>
      <c r="I98" s="23"/>
      <c r="J98" s="23"/>
    </row>
    <row r="99" spans="1:10" ht="11.25" customHeight="1" x14ac:dyDescent="0.2">
      <c r="A99" s="19"/>
      <c r="B99" s="43" t="s">
        <v>466</v>
      </c>
      <c r="C99" s="56">
        <f>VLOOKUP(A3,Data!A1:AQ88,41,FALSE)</f>
        <v>0.33300000000000002</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9</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17</v>
      </c>
      <c r="B104" s="99">
        <f>B101</f>
        <v>9</v>
      </c>
      <c r="C104" s="63">
        <f>VLOOKUP(A3,Data!A1:AQ88,42,FALSE)</f>
        <v>1</v>
      </c>
      <c r="D104" s="99">
        <f>SUM(A104:C104)</f>
        <v>27</v>
      </c>
      <c r="E104" s="63">
        <f>VLOOKUP(A3,Data!A1:AQ88,43,FALSE)</f>
        <v>40</v>
      </c>
      <c r="F104" s="33">
        <f>D104/E104</f>
        <v>0.67500000000000004</v>
      </c>
      <c r="G104" s="62" t="str">
        <f>IF(F104&gt;=0.8,"Meets Requirement",
IF(F104&gt;=0.6,"Needs Assistance",
IF(F104&gt;=0.3,"Needs Assistance",
IF(F104&lt;0.3,"Needs Assistance","NA"))))</f>
        <v>Needs Assistance</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i33yVziCwGACJeq8sXuFZ0lFctV/tEQpQSE9OR+XPngVTyZbnyyfTQV6eK23nuzUxN7B7hwtxpL9vMMItvrcyg==" saltValue="Lf3fzlj+L48op1I6viRcXA=="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2023-09-06T13:27:54Z</dcterms:modified>
</cp:coreProperties>
</file>