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66802CEB-F3B2-48A0-8EF3-A2ED1AD15242}" xr6:coauthVersionLast="47" xr6:coauthVersionMax="47" xr10:uidLastSave="{00000000-0000-0000-0000-000000000000}"/>
  <workbookProtection workbookAlgorithmName="SHA-512" workbookHashValue="AsxTwVnNc3Hm3nfav4Vun+E/vw1XS1F36e6tL/22IwSZSwWSdKLr/pjvQhok0ysl23ZRD+vWMJa5aJUxiEDXSw==" workbookSaltValue="LhvCbC2ok1clMcPGFQLE3g=="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<sst xmlns="http://schemas.openxmlformats.org/spreadsheetml/2006/main" count="2581" uniqueCount="605">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</sst>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0.68</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0.95650000000000002</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0.72</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0.94120000000000004</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0</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0.84</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0.98729999999999996</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0.96521739130434803</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0.93333333333333302</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0.95985401459854003</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0.94035087719298205</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0.93975903614457801</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0.15887850467289699</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0.13026819923371599</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0.63813229571984398</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9.34579439252336E-2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4.5627376425855501E-2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0.31981981981981999</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0.5</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0.2</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0.33333333333333298</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0.375</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0.6</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0.66666666666666696</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0.27924858562810601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0.37810000160310397</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0.26634274730941598</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0.192638312759258</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0.17201354215452</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0.27264189985038001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0.79830000000000001</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0.1062</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0.98680000000000001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0.28570000000000001</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0.70240000000000002</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0.77380000000000004</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9.1300000000000006E-2</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0.81730000000000003</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1E-3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0.96521739130434803</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0.2316</c:v>
                </c:pt>
                <c:pt idx="3">
                  <c:v>0.17119999999999999</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0.81730000000000003</c:v>
                </c:pt>
                <c:pt idx="3">
                  <c:v>0.85709999999999997</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0.18090000000000001</c:v>
                </c:pt>
                <c:pt idx="3">
                  <c:v>0.1036</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0.83460000000000001</c:v>
                </c:pt>
                <c:pt idx="3">
                  <c:v>0.79830000000000001</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2.35E-2</c:v>
                </c:pt>
                <c:pt idx="3">
                  <c:v>3.6299999999999999E-2</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0.28399999999999997</c:v>
                </c:pt>
                <c:pt idx="3">
                  <c:v>0.29299999999999998</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0.125</c:v>
                </c:pt>
                <c:pt idx="3">
                  <c:v>0.13159999999999999</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6.8199999999999997E-2</c:v>
                </c:pt>
                <c:pt idx="3">
                  <c:v>5.6000000000000001E-2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40</v>
      </c>
      <c r="B3" s="36"/>
      <c r="C3" s="36"/>
      <c r="D3" s="36"/>
      <c r="E3" s="36"/>
      <c r="F3" s="36"/>
      <c r="G3" s="36"/>
      <c r="H3" s="36"/>
      <c r="I3" s="36"/>
      <c r="J3" s="36"/>
      <c r="K3" s="36"/>
      <c r="L3" s="36"/>
      <c r="M3" s="36"/>
      <c r="N3" s="36"/>
      <c r="O3" s="10"/>
    </row>
    <row r="4" spans="1:20" s="9" customFormat="1" ht="11.25" x14ac:dyDescent="0.2">
      <c r="A4" s="9" t="str">
        <f>+VLOOKUP(A3,'Old Data'!A1:CM88,2,FALSE)</f>
        <v>1201 Main Street Suite 300</v>
      </c>
      <c r="C4" s="12"/>
      <c r="E4" s="12"/>
      <c r="F4" s="12"/>
    </row>
    <row r="5" spans="1:20" s="9" customFormat="1" ht="11.25" x14ac:dyDescent="0.2">
      <c r="A5" s="9" t="str">
        <f>+VLOOKUP(A3,'Old Data'!A1:CM88,3,FALSE)</f>
        <v>Columbia</v>
      </c>
      <c r="C5" s="12"/>
      <c r="E5" s="12"/>
      <c r="F5" s="12"/>
      <c r="G5" s="12" t="str">
        <f>+VLOOKUP(A3,'Old Data'!A1:CM88,4,FALSE)</f>
        <v>SC</v>
      </c>
      <c r="H5" s="12"/>
      <c r="I5" s="12">
        <f>+VLOOKUP(A3,'Old Data'!A1:CM88,5,FALSE)</f>
        <v>29201</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0.81730000000000003</v>
      </c>
      <c r="H11" s="66" t="s">
        <v>1</v>
      </c>
      <c r="I11" s="11" t="str">
        <f t="shared" ref="I11" si="0">IF(OR(G11="NA",G11="**"),"NA",IF(G11&lt;C11,"Not Met","Met"))</f>
        <v>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9.1300000000000006E-2</v>
      </c>
      <c r="H15" s="66" t="s">
        <v>1</v>
      </c>
      <c r="I15" s="11" t="str">
        <f>IF(OR(G15="NA",G15="**"),"NA",IF(G15&gt;C15,"Not Met","Met"))</f>
        <v>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0.96521739130434803</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0.93333333333333302</v>
      </c>
      <c r="H22" s="66" t="s">
        <v>1</v>
      </c>
      <c r="I22" s="11" t="str">
        <f>IF(OR(G22="NA",G22="**"),"NA",IF(G22&lt;C22,"Not Met","Met"))</f>
        <v>Not 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0.95985401459854003</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0.96521739130434803</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0.94035087719298205</v>
      </c>
      <c r="H31" s="66" t="s">
        <v>1</v>
      </c>
      <c r="I31" s="11" t="str">
        <f>IF(OR(G31="NA",G31="**"),"NA",IF(G31&lt;C31,"Not Met","Met"))</f>
        <v>Not 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0.93975903614457801</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0.15887850467289699</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0.13026819923371599</v>
      </c>
      <c r="H40" s="66" t="s">
        <v>1</v>
      </c>
      <c r="I40" s="11" t="str">
        <f>IF(OR(G40="NA",G40="**"),"NA",IF(G40&lt;C40,"Not Met","Met"))</f>
        <v>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0.63813229571984398</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9.34579439252336E-2</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4.5627376425855501E-2</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0.31981981981981999</v>
      </c>
      <c r="H52" s="66" t="s">
        <v>1</v>
      </c>
      <c r="I52" s="11" t="str">
        <f>IF(OR(G52="NA",G52="**"),"NA",IF(G52&lt;C52,"Not Met","Met"))</f>
        <v>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0.5</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0.2</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0.33333333333333298</v>
      </c>
      <c r="H61" s="66" t="s">
        <v>1</v>
      </c>
      <c r="I61" s="11" t="str">
        <f>IF(OR(G61="NA",G61="**"),"NA",IF(G61&lt;C61,"Not Met","Met"))</f>
        <v>Not 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0.375</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0.6</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0.66666666666666696</v>
      </c>
      <c r="H70" s="66" t="s">
        <v>1</v>
      </c>
      <c r="I70" s="11" t="str">
        <f>IF(OR(G70="NA",G70="**"),"NA",IF(G70&lt;C70,"Not Met","Met"))</f>
        <v>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0.27924858562810601</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0.37810000160310397</v>
      </c>
      <c r="H76" s="66" t="s">
        <v>1</v>
      </c>
      <c r="I76" s="11" t="str">
        <f>IF(OR(G76="NA",G76="**"),"NA",IF(G76&gt;C76,"Not Met","Met"))</f>
        <v>Not 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0.26634274730941598</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0.192638312759258</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0.17201354215452</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0.27264189985038001</v>
      </c>
      <c r="H88" s="66" t="s">
        <v>1</v>
      </c>
      <c r="I88" s="11" t="str">
        <f>IF(OR(G88="NA",G88="**"),"NA",IF(G88&gt;C88,"Not Met","Met"))</f>
        <v>Not 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0.79830000000000001</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0.1062</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1E-3</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t="str">
        <f>VLOOKUP(A3,'Old Data'!A1:CM88,66,FALSE)</f>
        <v>NA</v>
      </c>
      <c r="H109" s="66" t="s">
        <v>1</v>
      </c>
      <c r="I109" s="11" t="str">
        <f>IF(OR(G109="NA",G109="**"),"NA",IF(G109&lt;C109,"Not Met","Met"))</f>
        <v>NA</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t="str">
        <f>VLOOKUP(A3,'Old Data'!A1:CM88,67,FALSE)</f>
        <v>NA</v>
      </c>
      <c r="H112" s="66" t="s">
        <v>1</v>
      </c>
      <c r="I112" s="11" t="str">
        <f t="shared" ref="I112:I180" si="3">IF(OR(G112="NA",G112="**"),"NA",IF(G112&lt;C112,"Not Met","Met"))</f>
        <v>NA</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t="str">
        <f>VLOOKUP(A3,'Old Data'!A1:CM88,68,FALSE)</f>
        <v>NA</v>
      </c>
      <c r="H115" s="66" t="s">
        <v>1</v>
      </c>
      <c r="I115" s="11" t="str">
        <f t="shared" si="3"/>
        <v>NA</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t="str">
        <f>VLOOKUP(A3,'Old Data'!A1:CM88,69,FALSE)</f>
        <v>NA</v>
      </c>
      <c r="H118" s="66" t="s">
        <v>1</v>
      </c>
      <c r="I118" s="11" t="str">
        <f>IF(OR(G118="NA",G118="**"),"NA",IF(G118&gt;C118,"Not Met","Met"))</f>
        <v>NA</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t="str">
        <f>VLOOKUP(A3,'Old Data'!A1:CM88,70,FALSE)</f>
        <v>NA</v>
      </c>
      <c r="H121" s="66" t="s">
        <v>1</v>
      </c>
      <c r="I121" s="11" t="str">
        <f>IF(OR(G121="NA",G121="**"),"NA",IF(G121&gt;C121,"Not Met","Met"))</f>
        <v>NA</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t="str">
        <f>VLOOKUP(A3,'Old Data'!A1:CM88,71,FALSE)</f>
        <v>NA</v>
      </c>
      <c r="H124" s="66" t="s">
        <v>1</v>
      </c>
      <c r="I124" s="11" t="str">
        <f>IF(OR(G124="NA",G124="**"),"NA",IF(G124&gt;C124,"Not Met","Met"))</f>
        <v>NA</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t="str">
        <f>VLOOKUP(A3,'Old Data'!A1:CM88,72,FALSE)</f>
        <v>NA</v>
      </c>
      <c r="H127" s="66" t="s">
        <v>1</v>
      </c>
      <c r="I127" s="11" t="str">
        <f>IF(OR(G127="NA",G127="**"),"NA",IF(G127&gt;C127,"Not Met","Met"))</f>
        <v>NA</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t="str">
        <f>VLOOKUP(A3,'Old Data'!A1:CM88,73,FALSE)</f>
        <v>NA</v>
      </c>
      <c r="H130" s="66" t="s">
        <v>1</v>
      </c>
      <c r="I130" s="11" t="str">
        <f>IF(OR(G130="NA",G130="**"),"NA",IF(G130&gt;C130,"Not Met","Met"))</f>
        <v>NA</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1</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0.68</v>
      </c>
      <c r="H142" s="66" t="s">
        <v>1</v>
      </c>
      <c r="I142" s="11" t="str">
        <f t="shared" si="3"/>
        <v>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0.95650000000000002</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0.72</v>
      </c>
      <c r="H150" s="66" t="s">
        <v>1</v>
      </c>
      <c r="I150" s="11" t="str">
        <f t="shared" si="3"/>
        <v>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0.94120000000000004</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0.84</v>
      </c>
      <c r="H158" s="66" t="s">
        <v>1</v>
      </c>
      <c r="I158" s="11" t="str">
        <f t="shared" si="3"/>
        <v>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0.98729999999999996</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0.98680000000000001</v>
      </c>
      <c r="H175" s="66" t="s">
        <v>1</v>
      </c>
      <c r="I175" s="11" t="str">
        <f>IF(OR(G175="NA",G175="**"),"NA",IF(G175&lt;C175,"Not Met","Met"))</f>
        <v>Not 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t="str">
        <f>VLOOKUP(A3,'Old Data'!A1:CM88,85,FALSE)</f>
        <v>NA</v>
      </c>
      <c r="H180" s="66" t="s">
        <v>1</v>
      </c>
      <c r="I180" s="11" t="str">
        <f t="shared" si="3"/>
        <v>NA</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0.28570000000000001</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0.70240000000000002</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0.77380000000000004</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GNEHuAZocdLHzV37vxsBJmEy6qkGi1O93UiuooLxz/N18aaiyHVFTJttZ5yV1jBJ0abqGcA3TI/Fei7NVQZeUw==" saltValue="4ivfPIJBgvnHAm78joWqc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40</v>
      </c>
      <c r="B3" s="36"/>
      <c r="C3" s="36"/>
      <c r="D3" s="36"/>
      <c r="E3" s="36"/>
      <c r="F3" s="36"/>
      <c r="G3" s="36"/>
      <c r="H3" s="10"/>
      <c r="I3" s="10"/>
      <c r="J3" s="10"/>
    </row>
    <row r="4" spans="1:10" x14ac:dyDescent="0.2">
      <c r="A4" s="9" t="str">
        <f>VLOOKUP(A3,Data!A1:AQ88,2,FALSE)</f>
        <v>1201 Main Street Suite 300</v>
      </c>
    </row>
    <row r="5" spans="1:10" x14ac:dyDescent="0.2">
      <c r="A5" s="9" t="str">
        <f>VLOOKUP(A3,Data!A1:AQ88,3,FALSE)</f>
        <v>Columbia</v>
      </c>
      <c r="C5" s="12" t="str">
        <f>VLOOKUP(A3,Data!A1:AQ88,4,FALSE)</f>
        <v>SC</v>
      </c>
      <c r="D5" s="12">
        <f>VLOOKUP(A3,Data!A1:AQ88,5,FALSE)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1</v>
      </c>
      <c r="C18" s="92" t="str">
        <f>IF(B18=0,"2 or more consecutive years of findings of non-compliance (current year and previous year(s))",
IF(B18=1,"Findings of non-compliance in the current year",
IF(B18=2,"No findings of non-compliance","")))</f>
        <v>Findings of non-compliance in the current year</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17</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3</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current state target</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0.81730000000000003</v>
      </c>
      <c r="E34" s="23"/>
      <c r="F34" s="23"/>
      <c r="G34" s="23"/>
      <c r="H34" s="23"/>
      <c r="I34" s="23"/>
      <c r="J34" s="23"/>
    </row>
    <row r="35" spans="1:10" ht="11.25" customHeight="1" x14ac:dyDescent="0.2">
      <c r="A35" s="19"/>
      <c r="B35" s="43" t="s">
        <v>466</v>
      </c>
      <c r="C35" s="56">
        <f>VLOOKUP(A3,Data!A1:AQ88,17,FALSE)</f>
        <v>0.85709999999999997</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and did not improve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0.2316</v>
      </c>
      <c r="E42" s="23"/>
      <c r="F42" s="23"/>
      <c r="G42" s="23"/>
      <c r="H42" s="23"/>
      <c r="I42" s="23"/>
      <c r="J42" s="23"/>
    </row>
    <row r="43" spans="1:10" ht="11.25" customHeight="1" x14ac:dyDescent="0.2">
      <c r="A43" s="19"/>
      <c r="B43" s="43" t="s">
        <v>466</v>
      </c>
      <c r="C43" s="56">
        <f>VLOOKUP(A3,Data!A1:AQ88,20,FALSE)</f>
        <v>0.17119999999999999</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prior year’s state performance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0.125</v>
      </c>
      <c r="E50" s="23"/>
      <c r="F50" s="23"/>
      <c r="G50" s="23"/>
      <c r="H50" s="23"/>
      <c r="I50" s="23"/>
      <c r="J50" s="23"/>
    </row>
    <row r="51" spans="1:10" ht="11.25" customHeight="1" x14ac:dyDescent="0.2">
      <c r="A51" s="19"/>
      <c r="B51" s="43" t="s">
        <v>466</v>
      </c>
      <c r="C51" s="56">
        <f>VLOOKUP(A3,Data!A1:AQ88,23,FALSE)</f>
        <v>0.13159999999999999</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and did not improve</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0.18090000000000001</v>
      </c>
      <c r="E58" s="23"/>
      <c r="F58" s="23"/>
      <c r="G58" s="23"/>
      <c r="H58" s="23"/>
      <c r="I58" s="23"/>
      <c r="J58" s="23"/>
    </row>
    <row r="59" spans="1:10" ht="11.25" customHeight="1" x14ac:dyDescent="0.2">
      <c r="A59" s="19"/>
      <c r="B59" s="43" t="s">
        <v>466</v>
      </c>
      <c r="C59" s="56">
        <f>VLOOKUP(A3,Data!A1:AQ88,26,FALSE)</f>
        <v>0.1036</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6.8199999999999997E-2</v>
      </c>
      <c r="E66" s="23"/>
      <c r="F66" s="23"/>
      <c r="G66" s="23"/>
      <c r="H66" s="23"/>
      <c r="I66" s="23"/>
      <c r="J66" s="23"/>
    </row>
    <row r="67" spans="1:10" ht="11.25" customHeight="1" x14ac:dyDescent="0.2">
      <c r="A67" s="19"/>
      <c r="B67" s="43" t="s">
        <v>466</v>
      </c>
      <c r="C67" s="56">
        <f>VLOOKUP(A3,Data!A1:AQ88,29,FALSE)</f>
        <v>5.6000000000000001E-2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3</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current state target</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0.83460000000000001</v>
      </c>
      <c r="E74" s="23"/>
      <c r="F74" s="23"/>
      <c r="G74" s="23"/>
      <c r="H74" s="23"/>
      <c r="I74" s="23"/>
      <c r="J74" s="23"/>
    </row>
    <row r="75" spans="1:10" ht="11.25" customHeight="1" x14ac:dyDescent="0.2">
      <c r="A75" s="19"/>
      <c r="B75" s="43" t="s">
        <v>466</v>
      </c>
      <c r="C75" s="56">
        <f>VLOOKUP(A3,Data!A1:AQ88,32,FALSE)</f>
        <v>0.79830000000000001</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3</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current state target</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2.35E-2</v>
      </c>
      <c r="E90" s="23"/>
      <c r="F90" s="23"/>
      <c r="G90" s="23"/>
      <c r="H90" s="23"/>
      <c r="I90" s="23"/>
      <c r="J90" s="23"/>
    </row>
    <row r="91" spans="1:10" ht="11.25" customHeight="1" x14ac:dyDescent="0.2">
      <c r="A91" s="19"/>
      <c r="B91" s="43" t="s">
        <v>466</v>
      </c>
      <c r="C91" s="56">
        <f>VLOOKUP(A3,Data!A1:AQ88,38,FALSE)</f>
        <v>3.6299999999999999E-2</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1</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but improved since last year</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0.28399999999999997</v>
      </c>
      <c r="E98" s="23"/>
      <c r="F98" s="23"/>
      <c r="G98" s="23"/>
      <c r="H98" s="23"/>
      <c r="I98" s="23"/>
      <c r="J98" s="23"/>
    </row>
    <row r="99" spans="1:10" ht="11.25" customHeight="1" x14ac:dyDescent="0.2">
      <c r="A99" s="19"/>
      <c r="B99" s="43" t="s">
        <v>466</v>
      </c>
      <c r="C99" s="56">
        <f>VLOOKUP(A3,Data!A1:AQ88,41,FALSE)</f>
        <v>0.29299999999999998</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14</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17</v>
      </c>
      <c r="B104" s="99">
        <f>B101</f>
        <v>14</v>
      </c>
      <c r="C104" s="63">
        <f>VLOOKUP(A3,Data!A1:AQ88,42,FALSE)</f>
        <v>1</v>
      </c>
      <c r="D104" s="99">
        <f>SUM(A104:C104)</f>
        <v>32</v>
      </c>
      <c r="E104" s="63">
        <f>VLOOKUP(A3,Data!A1:AQ88,43,FALSE)</f>
        <v>40</v>
      </c>
      <c r="F104" s="33">
        <f>D104/E104</f>
        <v>0.8</v>
      </c>
      <c r="G104" s="62" t="str">
        <f>IF(F104&gt;=0.8,"Meets Requirement",
IF(F104&gt;=0.6,"Needs Assistance",
IF(F104&gt;=0.3,"Needs Assistance",
IF(F104&lt;0.3,"Needs Assistance","NA"))))</f>
        <v>Meets Requirement</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h88MkYKtuDoVKAmH1TzwpA4JAWaNPedempbL3hqH/q3JXdqMiP9LqvsfDy6ZPLv0+D20thZoFXSlCGfhAlkqTQ==" saltValue="f2a9xq0AIT87aXcig9pPLw=="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2023-09-06T13:27:57Z</dcterms:modified>
</cp:coreProperties>
</file>