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6F7186D5-29A7-4681-97FA-409007734B43}" xr6:coauthVersionLast="47" xr6:coauthVersionMax="47" xr10:uidLastSave="{00000000-0000-0000-0000-000000000000}"/>
  <workbookProtection workbookAlgorithmName="SHA-512" workbookHashValue="9pNdfgJmddzStvNweDHbqvJ4h/SDsWirYp3SEhTRX1PbfofAkJ94taw2o7BiwqjJvivm+VkUfuKe8FPzH2RYtQ==" workbookSaltValue="YBKfp3tnC18W4d4cDihwjA=="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<sst xmlns="http://schemas.openxmlformats.org/spreadsheetml/2006/main" count="2581" uniqueCount="605">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</sst>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0</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0.66669999999999996</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0.97140000000000004</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0.53849999999999998</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0.96879999999999999</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0.88239999999999996</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0.79490000000000005</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0.971830985915493</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0.98275862068965503</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1</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0.94545454545454499</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1</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0.929824561403509</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9.2307692307692299E-2</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3.5714285714285698E-2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0.27906976744186002</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0.138461538461538</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3.5087719298245598E-2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0.25</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0.5</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0.64710000000000001</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1</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0.22222222222222199</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0.75</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0.22222222222222199</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0.33322422258592499</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0.30020302694721301</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0.49089828367635002</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0.26579378068739801</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9.3778260083197701E-2</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0.29409999999999997</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0.36153846153846197</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0.82499999999999996</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5.28E-2</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7.1400000000000005E-2</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0.71430000000000005</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0.78569999999999995</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0.23080000000000001</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0.61539999999999995</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8.3000000000000001E-3</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0.971830985915493</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8.3299999999999999E-2</c:v>
                </c:pt>
                <c:pt idx="3">
                  <c:v>0.1159</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0.61539999999999995</c:v>
                </c:pt>
                <c:pt idx="3">
                  <c:v>0.68520000000000003</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8.2199999999999995E-2</c:v>
                </c:pt>
                <c:pt idx="3">
                  <c:v>0.1739</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0.8075</c:v>
                </c:pt>
                <c:pt idx="3">
                  <c:v>0.82499999999999996</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2.7300000000000001E-2</c:v>
                </c:pt>
                <c:pt idx="3">
                  <c:v>8.72E-2</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0.27300000000000002</c:v>
                </c:pt>
                <c:pt idx="3">
                  <c:v>0.20799999999999999</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1.8200000000000001E-2</c:v>
                </c:pt>
                <c:pt idx="3">
                  <c:v>5.2600000000000001E-2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1.8200000000000001E-2</c:v>
                </c:pt>
                <c:pt idx="3">
                  <c:v>3.4500000000000003E-2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0.97219999999999995</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42</v>
      </c>
      <c r="B3" s="36"/>
      <c r="C3" s="36"/>
      <c r="D3" s="36"/>
      <c r="E3" s="36"/>
      <c r="F3" s="36"/>
      <c r="G3" s="36"/>
      <c r="H3" s="36"/>
      <c r="I3" s="36"/>
      <c r="J3" s="36"/>
      <c r="K3" s="36"/>
      <c r="L3" s="36"/>
      <c r="M3" s="36"/>
      <c r="N3" s="36"/>
      <c r="O3" s="10"/>
    </row>
    <row r="4" spans="1:20" s="9" customFormat="1" ht="11.25" x14ac:dyDescent="0.2">
      <c r="A4" s="9" t="str">
        <f>+VLOOKUP(A3,'Old Data'!A1:CM88,2,FALSE)</f>
        <v>509 District Office Drive</v>
      </c>
      <c r="C4" s="12"/>
      <c r="E4" s="12"/>
      <c r="F4" s="12"/>
    </row>
    <row r="5" spans="1:20" s="9" customFormat="1" ht="11.25" x14ac:dyDescent="0.2">
      <c r="A5" s="9" t="str">
        <f>+VLOOKUP(A3,'Old Data'!A1:CM88,3,FALSE)</f>
        <v>Chester</v>
      </c>
      <c r="C5" s="12"/>
      <c r="E5" s="12"/>
      <c r="F5" s="12"/>
      <c r="G5" s="12" t="str">
        <f>+VLOOKUP(A3,'Old Data'!A1:CM88,4,FALSE)</f>
        <v>SC</v>
      </c>
      <c r="H5" s="12"/>
      <c r="I5" s="12">
        <f>+VLOOKUP(A3,'Old Data'!A1:CM88,5,FALSE)</f>
        <v>29706</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0.61539999999999995</v>
      </c>
      <c r="H11" s="66" t="s">
        <v>1</v>
      </c>
      <c r="I11" s="11" t="str">
        <f t="shared" ref="I11" si="0">IF(OR(G11="NA",G11="**"),"NA",IF(G11&lt;C11,"Not Met","Met"))</f>
        <v>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0.23080000000000001</v>
      </c>
      <c r="H15" s="66" t="s">
        <v>1</v>
      </c>
      <c r="I15" s="11" t="str">
        <f>IF(OR(G15="NA",G15="**"),"NA",IF(G15&gt;C15,"Not Met","Met"))</f>
        <v>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0.971830985915493</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0.98275862068965503</v>
      </c>
      <c r="H22" s="66" t="s">
        <v>1</v>
      </c>
      <c r="I22" s="11" t="str">
        <f>IF(OR(G22="NA",G22="**"),"NA",IF(G22&lt;C22,"Not Met","Met"))</f>
        <v>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0.94545454545454499</v>
      </c>
      <c r="H25" s="66" t="s">
        <v>1</v>
      </c>
      <c r="I25" s="11" t="str">
        <f>IF(OR(G25="NA",G25="**"),"NA",IF(G25&lt;C25,"Not Met","Met"))</f>
        <v>Not 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0.971830985915493</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1</v>
      </c>
      <c r="H31" s="66" t="s">
        <v>1</v>
      </c>
      <c r="I31" s="11" t="str">
        <f>IF(OR(G31="NA",G31="**"),"NA",IF(G31&lt;C31,"Not Met","Met"))</f>
        <v>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0.929824561403509</v>
      </c>
      <c r="H34" s="66" t="s">
        <v>1</v>
      </c>
      <c r="I34" s="11" t="str">
        <f>IF(OR(G34="NA",G34="**"),"NA",IF(G34&lt;C34,"Not Met","Met"))</f>
        <v>Not 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9.2307692307692299E-2</v>
      </c>
      <c r="H37" s="66" t="s">
        <v>1</v>
      </c>
      <c r="I37" s="11" t="str">
        <f>IF(OR(G37="NA",G37="**"),"NA",IF(G37&lt;C37,"Not Met","Met"))</f>
        <v>Not 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3.5714285714285698E-2</v>
      </c>
      <c r="H40" s="66" t="s">
        <v>1</v>
      </c>
      <c r="I40" s="11" t="str">
        <f>IF(OR(G40="NA",G40="**"),"NA",IF(G40&lt;C40,"Not Met","Met"))</f>
        <v>Not 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0.27906976744186002</v>
      </c>
      <c r="H43" s="66" t="s">
        <v>1</v>
      </c>
      <c r="I43" s="11" t="str">
        <f>IF(OR(G43="NA",G43="**"),"NA",IF(G43&lt;C43,"Not Met","Met"))</f>
        <v>Not 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0.138461538461538</v>
      </c>
      <c r="H46" s="66" t="s">
        <v>1</v>
      </c>
      <c r="I46" s="11" t="str">
        <f>IF(OR(G46="NA",G46="**"),"NA",IF(G46&lt;C46,"Not Met","Met"))</f>
        <v>Not 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3.5087719298245598E-2</v>
      </c>
      <c r="H49" s="66" t="s">
        <v>1</v>
      </c>
      <c r="I49" s="11" t="str">
        <f>IF(OR(G49="NA",G49="**"),"NA",IF(G49&lt;C49,"Not Met","Met"))</f>
        <v>Not 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0.25</v>
      </c>
      <c r="H52" s="66" t="s">
        <v>1</v>
      </c>
      <c r="I52" s="11" t="str">
        <f>IF(OR(G52="NA",G52="**"),"NA",IF(G52&lt;C52,"Not Met","Met"))</f>
        <v>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f>VLOOKUP(A3,'Old Data'!A1:CM88,49,FALSE)</f>
        <v>0.5</v>
      </c>
      <c r="H55" s="66" t="s">
        <v>1</v>
      </c>
      <c r="I55" s="11" t="str">
        <f>IF(OR(G55="NA",G55="**"),"NA",IF(G55&lt;C55,"Not Met","Met"))</f>
        <v>Not Met</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1</v>
      </c>
      <c r="H58" s="66" t="s">
        <v>1</v>
      </c>
      <c r="I58" s="11" t="str">
        <f>IF(OR(G58="NA",G58="**"),"NA",IF(G58&lt;C58,"Not Met","Met"))</f>
        <v>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f>VLOOKUP(A3,'Old Data'!A1:CM88,51,FALSE)</f>
        <v>0.22222222222222199</v>
      </c>
      <c r="H61" s="66" t="s">
        <v>1</v>
      </c>
      <c r="I61" s="11" t="str">
        <f>IF(OR(G61="NA",G61="**"),"NA",IF(G61&lt;C61,"Not Met","Met"))</f>
        <v>Not Met</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f>VLOOKUP(A3,'Old Data'!A1:CM88,52,FALSE)</f>
        <v>0.75</v>
      </c>
      <c r="H64" s="66" t="s">
        <v>1</v>
      </c>
      <c r="I64" s="11" t="str">
        <f>IF(OR(G64="NA",G64="**"),"NA",IF(G64&lt;C64,"Not Met","Met"))</f>
        <v>Met</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0</v>
      </c>
      <c r="H67" s="66" t="s">
        <v>1</v>
      </c>
      <c r="I67" s="11" t="str">
        <f>IF(OR(G67="NA",G67="**"),"NA",IF(G67&lt;C67,"Not Met","Met"))</f>
        <v>Not 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f>VLOOKUP(A3,'Old Data'!A1:CM88,54,FALSE)</f>
        <v>0.22222222222222199</v>
      </c>
      <c r="H70" s="66" t="s">
        <v>1</v>
      </c>
      <c r="I70" s="11" t="str">
        <f>IF(OR(G70="NA",G70="**"),"NA",IF(G70&lt;C70,"Not Met","Met"))</f>
        <v>Not Met</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0.33322422258592499</v>
      </c>
      <c r="H73" s="66" t="s">
        <v>1</v>
      </c>
      <c r="I73" s="11" t="str">
        <f>IF(OR(G73="NA",G73="**"),"NA",IF(G73&gt;C73,"Not Met","Met"))</f>
        <v>Not 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0.30020302694721301</v>
      </c>
      <c r="H76" s="66" t="s">
        <v>1</v>
      </c>
      <c r="I76" s="11" t="str">
        <f>IF(OR(G76="NA",G76="**"),"NA",IF(G76&gt;C76,"Not Met","Met"))</f>
        <v>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0.49089828367635002</v>
      </c>
      <c r="H79" s="66" t="s">
        <v>1</v>
      </c>
      <c r="I79" s="11" t="str">
        <f>IF(OR(G79="NA",G79="**"),"NA",IF(G79&gt;C79,"Not Met","Met"))</f>
        <v>Not 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0.26579378068739801</v>
      </c>
      <c r="H82" s="66" t="s">
        <v>1</v>
      </c>
      <c r="I82" s="11" t="str">
        <f>IF(OR(G82="NA",G82="**"),"NA",IF(G82&gt;C82,"Not Met","Met"))</f>
        <v>Not 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9.3778260083197701E-2</v>
      </c>
      <c r="H85" s="66" t="s">
        <v>1</v>
      </c>
      <c r="I85" s="11" t="str">
        <f>IF(OR(G85="NA",G85="**"),"NA",IF(G85&gt;C85,"Not Met","Met"))</f>
        <v>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0.36153846153846197</v>
      </c>
      <c r="H88" s="66" t="s">
        <v>1</v>
      </c>
      <c r="I88" s="11" t="str">
        <f>IF(OR(G88="NA",G88="**"),"NA",IF(G88&gt;C88,"Not Met","Met"))</f>
        <v>Not 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0.82499999999999996</v>
      </c>
      <c r="H99" s="66" t="s">
        <v>1</v>
      </c>
      <c r="I99" s="11" t="str">
        <f t="shared" ref="I99" si="2">IF(OR(G99="NA",G99="**"),"NA",IF(G99&lt;C99,"Not Met","Met"))</f>
        <v>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5.28E-2</v>
      </c>
      <c r="H102" s="66" t="s">
        <v>1</v>
      </c>
      <c r="I102" s="11" t="str">
        <f>IF(OR(G102="NA",G102="**"),"NA",IF(G102&gt;C102,"Not Met","Met"))</f>
        <v>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8.3000000000000001E-3</v>
      </c>
      <c r="H105" s="66" t="s">
        <v>1</v>
      </c>
      <c r="I105" s="11" t="str">
        <f>IF(OR(G105="NA",G105="**"),"NA",IF(G105&gt;C105,"Not Met","Met"))</f>
        <v>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f>VLOOKUP(A3,'Old Data'!A1:CM88,66,FALSE)</f>
        <v>0</v>
      </c>
      <c r="H109" s="66" t="s">
        <v>1</v>
      </c>
      <c r="I109" s="11" t="str">
        <f>IF(OR(G109="NA",G109="**"),"NA",IF(G109&lt;C109,"Not Met","Met"))</f>
        <v>Not Met</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f>VLOOKUP(A3,'Old Data'!A1:CM88,67,FALSE)</f>
        <v>0.88239999999999996</v>
      </c>
      <c r="H112" s="66" t="s">
        <v>1</v>
      </c>
      <c r="I112" s="11" t="str">
        <f t="shared" ref="I112:I180" si="3">IF(OR(G112="NA",G112="**"),"NA",IF(G112&lt;C112,"Not Met","Met"))</f>
        <v>Met</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f>VLOOKUP(A3,'Old Data'!A1:CM88,68,FALSE)</f>
        <v>1</v>
      </c>
      <c r="H115" s="66" t="s">
        <v>1</v>
      </c>
      <c r="I115" s="11" t="str">
        <f t="shared" si="3"/>
        <v>Met</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0.64710000000000001</v>
      </c>
      <c r="H118" s="66" t="s">
        <v>1</v>
      </c>
      <c r="I118" s="11" t="str">
        <f>IF(OR(G118="NA",G118="**"),"NA",IF(G118&gt;C118,"Not Met","Met"))</f>
        <v>Not 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f>VLOOKUP(A3,'Old Data'!A1:CM88,70,FALSE)</f>
        <v>0.29409999999999997</v>
      </c>
      <c r="H121" s="66" t="s">
        <v>1</v>
      </c>
      <c r="I121" s="11" t="str">
        <f>IF(OR(G121="NA",G121="**"),"NA",IF(G121&gt;C121,"Not Met","Met"))</f>
        <v>Not Met</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f>VLOOKUP(A3,'Old Data'!A1:CM88,71,FALSE)</f>
        <v>0</v>
      </c>
      <c r="H124" s="66" t="s">
        <v>1</v>
      </c>
      <c r="I124" s="11" t="str">
        <f>IF(OR(G124="NA",G124="**"),"NA",IF(G124&gt;C124,"Not Met","Met"))</f>
        <v>Met</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f>VLOOKUP(A3,'Old Data'!A1:CM88,72,FALSE)</f>
        <v>0</v>
      </c>
      <c r="H127" s="66" t="s">
        <v>1</v>
      </c>
      <c r="I127" s="11" t="str">
        <f>IF(OR(G127="NA",G127="**"),"NA",IF(G127&gt;C127,"Not Met","Met"))</f>
        <v>Met</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f>VLOOKUP(A3,'Old Data'!A1:CM88,73,FALSE)</f>
        <v>0</v>
      </c>
      <c r="H130" s="66" t="s">
        <v>1</v>
      </c>
      <c r="I130" s="11" t="str">
        <f>IF(OR(G130="NA",G130="**"),"NA",IF(G130&gt;C130,"Not Met","Met"))</f>
        <v>Met</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t="str">
        <f>VLOOKUP(A3,'Old Data'!A1:CM88,74,FALSE)</f>
        <v>NA</v>
      </c>
      <c r="H133" s="66" t="s">
        <v>1</v>
      </c>
      <c r="I133" s="11" t="str">
        <f>IF(OR(G133="NA",G133="**"),"NA",IF(G133&gt;C133,"Not Met","Met"))</f>
        <v>NA</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0.97219999999999995</v>
      </c>
      <c r="H138" s="66" t="s">
        <v>1</v>
      </c>
      <c r="I138" s="11" t="str">
        <f t="shared" si="3"/>
        <v>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0.66669999999999996</v>
      </c>
      <c r="H142" s="66" t="s">
        <v>1</v>
      </c>
      <c r="I142" s="11" t="str">
        <f t="shared" si="3"/>
        <v>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0.97140000000000004</v>
      </c>
      <c r="H146" s="66" t="s">
        <v>1</v>
      </c>
      <c r="I146" s="11" t="str">
        <f t="shared" si="3"/>
        <v>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0.53849999999999998</v>
      </c>
      <c r="H150" s="66" t="s">
        <v>1</v>
      </c>
      <c r="I150" s="11" t="str">
        <f t="shared" si="3"/>
        <v>Not 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0.96879999999999999</v>
      </c>
      <c r="H154" s="66" t="s">
        <v>1</v>
      </c>
      <c r="I154" s="11" t="str">
        <f t="shared" si="3"/>
        <v>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0.79490000000000005</v>
      </c>
      <c r="H158" s="66" t="s">
        <v>1</v>
      </c>
      <c r="I158" s="11" t="str">
        <f t="shared" si="3"/>
        <v>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1</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1</v>
      </c>
      <c r="H175" s="66" t="s">
        <v>1</v>
      </c>
      <c r="I175" s="11" t="str">
        <f>IF(OR(G175="NA",G175="**"),"NA",IF(G175&lt;C175,"Not Met","Met"))</f>
        <v>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1</v>
      </c>
      <c r="H180" s="66" t="s">
        <v>1</v>
      </c>
      <c r="I180" s="11" t="str">
        <f t="shared" si="3"/>
        <v>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7.1400000000000005E-2</v>
      </c>
      <c r="H189" s="66" t="s">
        <v>1</v>
      </c>
      <c r="I189" s="11" t="str">
        <f t="shared" ref="I189" si="6">IF(OR(G189="NA",G189="**"),"NA",IF(G189&lt;C189,"Not Met","Met"))</f>
        <v>Not 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0.71430000000000005</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0.78569999999999995</v>
      </c>
      <c r="H197" s="66" t="s">
        <v>1</v>
      </c>
      <c r="I197" s="11" t="str">
        <f t="shared" ref="I197" si="7">IF(OR(G197="NA",G197="**"),"NA",IF(G197&lt;C197,"Not Met","Met"))</f>
        <v>Not 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XpPd7tHH4hw89yVmc3z27PeXTS2hwcsF7ZKTRG5ZGAgbCocT0uFu0+Yr84bPh2jIcgRPEMJ6Ws4pVho2e2nGpg==" saltValue="V7B9eVDYKu6qlCqRn35c5A=="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42</v>
      </c>
      <c r="B3" s="36"/>
      <c r="C3" s="36"/>
      <c r="D3" s="36"/>
      <c r="E3" s="36"/>
      <c r="F3" s="36"/>
      <c r="G3" s="36"/>
      <c r="H3" s="10"/>
      <c r="I3" s="10"/>
      <c r="J3" s="10"/>
    </row>
    <row r="4" spans="1:10" x14ac:dyDescent="0.2">
      <c r="A4" s="9" t="str">
        <f>VLOOKUP(A3,Data!A1:AQ88,2,FALSE)</f>
        <v>509 District Office Drive</v>
      </c>
    </row>
    <row r="5" spans="1:10" x14ac:dyDescent="0.2">
      <c r="A5" s="9" t="str">
        <f>VLOOKUP(A3,Data!A1:AQ88,3,FALSE)</f>
        <v>Chester</v>
      </c>
      <c r="C5" s="12" t="str">
        <f>VLOOKUP(A3,Data!A1:AQ88,4,FALSE)</f>
        <v>SC</v>
      </c>
      <c r="D5" s="12">
        <f>VLOOKUP(A3,Data!A1:AQ88,5,FALSE)</f>
        <v>29706</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2</v>
      </c>
      <c r="C14" s="94" t="str">
        <f>IF(B14=0,"2 or more consecutive years of findings of non-compliance (current year and previous year(s))",
IF(B14=1,"Findings of non-compliance in the current year",
IF(B14=2,"No findings of non-compliance","")))</f>
        <v>No findings of non-compliance</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2</v>
      </c>
      <c r="C18" s="92" t="str">
        <f>IF(B18=0,"2 or more consecutive years of findings of non-compliance (current year and previous year(s))",
IF(B18=1,"Findings of non-compliance in the current year",
IF(B18=2,"No findings of non-compliance","")))</f>
        <v>No findings of non-compliance</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18</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2</v>
      </c>
      <c r="C30" s="92" t="str">
        <f>IF(B30=0,"Does not meet prior year’s state performance and did not improve",
IF(B30=1,"Does not meet prior year’s state performance but improved since last year",
IF(B30=2,"Meets or exceeds prior year’s state performance",
IF(B30=3,"Meets or exceeds current state target",""))))</f>
        <v>Meets or exceeds prior year’s state performance</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0.61539999999999995</v>
      </c>
      <c r="E34" s="23"/>
      <c r="F34" s="23"/>
      <c r="G34" s="23"/>
      <c r="H34" s="23"/>
      <c r="I34" s="23"/>
      <c r="J34" s="23"/>
    </row>
    <row r="35" spans="1:10" ht="11.25" customHeight="1" x14ac:dyDescent="0.2">
      <c r="A35" s="19"/>
      <c r="B35" s="43" t="s">
        <v>466</v>
      </c>
      <c r="C35" s="56">
        <f>VLOOKUP(A3,Data!A1:AQ88,17,FALSE)</f>
        <v>0.68520000000000003</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0.5</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Does not meet prior year’s state performance but improved since last year</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8.3299999999999999E-2</v>
      </c>
      <c r="E42" s="23"/>
      <c r="F42" s="23"/>
      <c r="G42" s="23"/>
      <c r="H42" s="23"/>
      <c r="I42" s="23"/>
      <c r="J42" s="23"/>
    </row>
    <row r="43" spans="1:10" ht="11.25" customHeight="1" x14ac:dyDescent="0.2">
      <c r="A43" s="19"/>
      <c r="B43" s="43" t="s">
        <v>466</v>
      </c>
      <c r="C43" s="56">
        <f>VLOOKUP(A3,Data!A1:AQ88,20,FALSE)</f>
        <v>0.1159</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0.5</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Does not meet prior year’s state performance but improved since last year</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1.8200000000000001E-2</v>
      </c>
      <c r="E50" s="23"/>
      <c r="F50" s="23"/>
      <c r="G50" s="23"/>
      <c r="H50" s="23"/>
      <c r="I50" s="23"/>
      <c r="J50" s="23"/>
    </row>
    <row r="51" spans="1:10" ht="11.25" customHeight="1" x14ac:dyDescent="0.2">
      <c r="A51" s="19"/>
      <c r="B51" s="43" t="s">
        <v>466</v>
      </c>
      <c r="C51" s="56">
        <f>VLOOKUP(A3,Data!A1:AQ88,23,FALSE)</f>
        <v>5.2600000000000001E-2</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0.5</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Does not meet prior year’s state performance but improved since last year</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8.2199999999999995E-2</v>
      </c>
      <c r="E58" s="23"/>
      <c r="F58" s="23"/>
      <c r="G58" s="23"/>
      <c r="H58" s="23"/>
      <c r="I58" s="23"/>
      <c r="J58" s="23"/>
    </row>
    <row r="59" spans="1:10" ht="11.25" customHeight="1" x14ac:dyDescent="0.2">
      <c r="A59" s="19"/>
      <c r="B59" s="43" t="s">
        <v>466</v>
      </c>
      <c r="C59" s="56">
        <f>VLOOKUP(A3,Data!A1:AQ88,26,FALSE)</f>
        <v>0.1739</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0.5</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Does not meet prior year’s state performance but improved since last year</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1.8200000000000001E-2</v>
      </c>
      <c r="E66" s="23"/>
      <c r="F66" s="23"/>
      <c r="G66" s="23"/>
      <c r="H66" s="23"/>
      <c r="I66" s="23"/>
      <c r="J66" s="23"/>
    </row>
    <row r="67" spans="1:10" ht="11.25" customHeight="1" x14ac:dyDescent="0.2">
      <c r="A67" s="19"/>
      <c r="B67" s="43" t="s">
        <v>466</v>
      </c>
      <c r="C67" s="56">
        <f>VLOOKUP(A3,Data!A1:AQ88,29,FALSE)</f>
        <v>3.4500000000000003E-2</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3</v>
      </c>
      <c r="C70" s="92" t="str">
        <f>IF(B70=0,"Does not meet prior year’s state performance and did not improve",
IF(B70=1,"Does not meet prior year’s state performance but improved since last year",
IF(B70=2,"Meets or exceeds prior year’s state performance",
IF(B70=3,"Meets or exceeds current state target",""))))</f>
        <v>Meets or exceeds current state target</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0.8075</v>
      </c>
      <c r="E74" s="23"/>
      <c r="F74" s="23"/>
      <c r="G74" s="23"/>
      <c r="H74" s="23"/>
      <c r="I74" s="23"/>
      <c r="J74" s="23"/>
    </row>
    <row r="75" spans="1:10" ht="11.25" customHeight="1" x14ac:dyDescent="0.2">
      <c r="A75" s="19"/>
      <c r="B75" s="43" t="s">
        <v>466</v>
      </c>
      <c r="C75" s="56">
        <f>VLOOKUP(A3,Data!A1:AQ88,32,FALSE)</f>
        <v>0.82499999999999996</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3</v>
      </c>
      <c r="C86" s="92" t="str">
        <f>IF(B86=0,"Does not meet prior year’s state performance and did not improve",
IF(B86=1,"Does not meet prior year’s state performance but improved since last year",
IF(B86=2,"Meets or exceeds prior year’s state performance",
IF(B86=3,"Meets or exceeds current state target",""))))</f>
        <v>Meets or exceeds current state target</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2.7300000000000001E-2</v>
      </c>
      <c r="E90" s="23"/>
      <c r="F90" s="23"/>
      <c r="G90" s="23"/>
      <c r="H90" s="23"/>
      <c r="I90" s="23"/>
      <c r="J90" s="23"/>
    </row>
    <row r="91" spans="1:10" ht="11.25" customHeight="1" x14ac:dyDescent="0.2">
      <c r="A91" s="19"/>
      <c r="B91" s="43" t="s">
        <v>466</v>
      </c>
      <c r="C91" s="56">
        <f>VLOOKUP(A3,Data!A1:AQ88,38,FALSE)</f>
        <v>8.72E-2</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0</v>
      </c>
      <c r="C94" s="92" t="str">
        <f>IF(B94=0,"Does not meet prior year’s state performance and did not improve",
IF(B94=1,"Does not meet prior year’s state performance but improved since last year",
IF(B94=2,"Meets or exceeds prior year’s state performance",
IF(B94=3,"Meets or exceeds current state target",""))))</f>
        <v>Does not meet prior year’s state performance and did not improve</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0.27300000000000002</v>
      </c>
      <c r="E98" s="23"/>
      <c r="F98" s="23"/>
      <c r="G98" s="23"/>
      <c r="H98" s="23"/>
      <c r="I98" s="23"/>
      <c r="J98" s="23"/>
    </row>
    <row r="99" spans="1:10" ht="11.25" customHeight="1" x14ac:dyDescent="0.2">
      <c r="A99" s="19"/>
      <c r="B99" s="43" t="s">
        <v>466</v>
      </c>
      <c r="C99" s="56">
        <f>VLOOKUP(A3,Data!A1:AQ88,41,FALSE)</f>
        <v>0.20799999999999999</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13</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18</v>
      </c>
      <c r="B104" s="99">
        <f>B101</f>
        <v>13</v>
      </c>
      <c r="C104" s="63">
        <f>VLOOKUP(A3,Data!A1:AQ88,42,FALSE)</f>
        <v>1</v>
      </c>
      <c r="D104" s="99">
        <f>SUM(A104:C104)</f>
        <v>32</v>
      </c>
      <c r="E104" s="63">
        <f>VLOOKUP(A3,Data!A1:AQ88,43,FALSE)</f>
        <v>40</v>
      </c>
      <c r="F104" s="33">
        <f>D104/E104</f>
        <v>0.8</v>
      </c>
      <c r="G104" s="62" t="str">
        <f>IF(F104&gt;=0.8,"Meets Requirement",
IF(F104&gt;=0.6,"Needs Assistance",
IF(F104&gt;=0.3,"Needs Assistance",
IF(F104&lt;0.3,"Needs Assistance","NA"))))</f>
        <v>Meets Requirement</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ARFqgY94wrL/ENmnhj9eYMGANLfksr/zc/vYsxw8XYR8P6cjO3w/x7G4agWInCjygmurJWGGOaPnnY4a3fsWww==" saltValue="JZIU9NQkXEoTCy85ulG6qA=="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2023-09-06T13:28:00Z</dcterms:modified>
</cp:coreProperties>
</file>