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B6348E10-F085-4685-9C42-4EA815B9D709}" xr6:coauthVersionLast="47" xr6:coauthVersionMax="47" xr10:uidLastSave="{00000000-0000-0000-0000-000000000000}"/>
  <workbookProtection workbookAlgorithmName="SHA-512" workbookHashValue="sbCRbn+Xh8xn31cgubznfZxYzfEq2gFNFvELjsZT1gOZb9sg36/tcnk+NBmS3Ktou9vkC36YeUfwsIfKUdAkIg==" workbookSaltValue="TbX+EMAU2yo/AMlU/LRkZ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<sst xmlns="http://schemas.openxmlformats.org/spreadsheetml/2006/main" count="2581" uniqueCount="605">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</sst>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0.5625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0.86670000000000003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0.92859999999999998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0.6875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0.89655172413793105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0.92592592592592604</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0.92592592592592604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0.92105263157894701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0.14285714285714299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0.16666666666666699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0.52631578947368396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0.238095238095238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3.2258064516128997E-2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0.875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0.15851272015655599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0.22537878787878801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0.25654135338345901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3.5877364644487902E-2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0.29213483146067398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0.42709152897980601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0.59830000000000005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0.2135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0.5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0.60870000000000002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0.125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8.3999999999999995E-3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0.89655172413793105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0.1429</c:v>
                </c:pt>
                <c:pt idx="3">
                  <c:v>0.1154</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0.60870000000000002</c:v>
                </c:pt>
                <c:pt idx="3">
                  <c:v>0.7429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0.1429</c:v>
                </c:pt>
                <c:pt idx="3">
                  <c:v>0.1923</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0.67</c:v>
                </c:pt>
                <c:pt idx="3">
                  <c:v>0.59830000000000005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0.19620000000000001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0.03</c:v>
                </c:pt>
                <c:pt idx="3">
                  <c:v>0.25</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0.5</c:v>
                </c:pt>
                <c:pt idx="3">
                  <c:v>0.2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0.04</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0.125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0.93330000000000002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44</v>
      </c>
      <c r="B3" s="36"/>
      <c r="C3" s="36"/>
      <c r="D3" s="36"/>
      <c r="E3" s="36"/>
      <c r="F3" s="36"/>
      <c r="G3" s="36"/>
      <c r="H3" s="36"/>
      <c r="I3" s="36"/>
      <c r="J3" s="36"/>
      <c r="K3" s="36"/>
      <c r="L3" s="36"/>
      <c r="M3" s="36"/>
      <c r="N3" s="36"/>
      <c r="O3" s="10"/>
    </row>
    <row r="4" spans="1:20" s="9" customFormat="1" ht="11.25" x14ac:dyDescent="0.2">
      <c r="A4" s="9" t="str">
        <f>+VLOOKUP(A3,'Old Data'!A1:CM88,2,FALSE)</f>
        <v>10 Weinberg Street</v>
      </c>
      <c r="C4" s="12"/>
      <c r="E4" s="12"/>
      <c r="F4" s="12"/>
    </row>
    <row r="5" spans="1:20" s="9" customFormat="1" ht="11.25" x14ac:dyDescent="0.2">
      <c r="A5" s="9" t="str">
        <f>+VLOOKUP(A3,'Old Data'!A1:CM88,3,FALSE)</f>
        <v>Manning</v>
      </c>
      <c r="C5" s="12"/>
      <c r="E5" s="12"/>
      <c r="F5" s="12"/>
      <c r="G5" s="12" t="str">
        <f>+VLOOKUP(A3,'Old Data'!A1:CM88,4,FALSE)</f>
        <v>SC</v>
      </c>
      <c r="H5" s="12"/>
      <c r="I5" s="12">
        <f>+VLOOKUP(A3,'Old Data'!A1:CM88,5,FALSE)</f>
        <v>29102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0.60870000000000002</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0.89655172413793105</v>
      </c>
      <c r="H19" s="66" t="s">
        <v>1</v>
      </c>
      <c r="I19" s="11" t="str">
        <f>IF(OR(G19="NA",G19="**"),"NA",IF(G19&lt;C19,"Not Met","Met"))</f>
        <v>Not 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0.92592592592592604</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0.92</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0.89655172413793105</v>
      </c>
      <c r="H28" s="66" t="s">
        <v>1</v>
      </c>
      <c r="I28" s="11" t="str">
        <f>IF(OR(G28="NA",G28="**"),"NA",IF(G28&lt;C28,"Not Met","Met"))</f>
        <v>Not 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0.92592592592592604</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0.92105263157894701</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0.14285714285714299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0.16666666666666699</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0.52631578947368396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0.238095238095238</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3.2258064516128997E-2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1</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0.15851272015655599</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0.22537878787878801</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0.25654135338345901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3.5877364644487902E-2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0.29213483146067398</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0.42709152897980601</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0.59830000000000005</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0.2135</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8.3999999999999995E-3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0.875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0.125</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0.125</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0.93330000000000002</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0.5625</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0.86670000000000003</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0.92859999999999998</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0.6875</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0.5</v>
      </c>
      <c r="H184" s="66" t="s">
        <v>1</v>
      </c>
      <c r="I184" s="11" t="str">
        <f t="shared" ref="I184" si="5">IF(OR(G184="NA",G184="**"),"NA",IF(G184&lt;C184,"Not Met","Met"))</f>
        <v>Not 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8ehv5YOvmnjyeDkWnXjMJz/QNeosiIecFldUPhu8ydXVNeAlWIq2aMgCchMD+ncWztWeK6e3dRusWwAGFpTxFg==" saltValue="0DZY2lz0/we/4X1zoqomW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44</v>
      </c>
      <c r="B3" s="36"/>
      <c r="C3" s="36"/>
      <c r="D3" s="36"/>
      <c r="E3" s="36"/>
      <c r="F3" s="36"/>
      <c r="G3" s="36"/>
      <c r="H3" s="10"/>
      <c r="I3" s="10"/>
      <c r="J3" s="10"/>
    </row>
    <row r="4" spans="1:10" x14ac:dyDescent="0.2">
      <c r="A4" s="9" t="str">
        <f>VLOOKUP(A3,Data!A1:AQ88,2,FALSE)</f>
        <v>10 Weinberg Street</v>
      </c>
    </row>
    <row r="5" spans="1:10" x14ac:dyDescent="0.2">
      <c r="A5" s="9" t="str">
        <f>VLOOKUP(A3,Data!A1:AQ88,3,FALSE)</f>
        <v>Manning</v>
      </c>
      <c r="C5" s="12" t="str">
        <f>VLOOKUP(A3,Data!A1:AQ88,4,FALSE)</f>
        <v>SC</v>
      </c>
      <c r="D5" s="12">
        <f>VLOOKUP(A3,Data!A1:AQ88,5,FALSE)</f>
        <v>29102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0.60870000000000002</v>
      </c>
      <c r="E34" s="23"/>
      <c r="F34" s="23"/>
      <c r="G34" s="23"/>
      <c r="H34" s="23"/>
      <c r="I34" s="23"/>
      <c r="J34" s="23"/>
    </row>
    <row r="35" spans="1:10" ht="11.25" customHeight="1" x14ac:dyDescent="0.2">
      <c r="A35" s="19"/>
      <c r="B35" s="43" t="s">
        <v>466</v>
      </c>
      <c r="C35" s="56">
        <f>VLOOKUP(A3,Data!A1:AQ88,17,FALSE)</f>
        <v>0.7429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0.1429</v>
      </c>
      <c r="E42" s="23"/>
      <c r="F42" s="23"/>
      <c r="G42" s="23"/>
      <c r="H42" s="23"/>
      <c r="I42" s="23"/>
      <c r="J42" s="23"/>
    </row>
    <row r="43" spans="1:10" ht="11.25" customHeight="1" x14ac:dyDescent="0.2">
      <c r="A43" s="19"/>
      <c r="B43" s="43" t="s">
        <v>466</v>
      </c>
      <c r="C43" s="56">
        <f>VLOOKUP(A3,Data!A1:AQ88,20,FALSE)</f>
        <v>0.1154</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0.5</v>
      </c>
      <c r="E50" s="23"/>
      <c r="F50" s="23"/>
      <c r="G50" s="23"/>
      <c r="H50" s="23"/>
      <c r="I50" s="23"/>
      <c r="J50" s="23"/>
    </row>
    <row r="51" spans="1:10" ht="11.25" customHeight="1" x14ac:dyDescent="0.2">
      <c r="A51" s="19"/>
      <c r="B51" s="43" t="s">
        <v>466</v>
      </c>
      <c r="C51" s="56">
        <f>VLOOKUP(A3,Data!A1:AQ88,23,FALSE)</f>
        <v>0.2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0.1429</v>
      </c>
      <c r="E58" s="23"/>
      <c r="F58" s="23"/>
      <c r="G58" s="23"/>
      <c r="H58" s="23"/>
      <c r="I58" s="23"/>
      <c r="J58" s="23"/>
    </row>
    <row r="59" spans="1:10" ht="11.25" customHeight="1" x14ac:dyDescent="0.2">
      <c r="A59" s="19"/>
      <c r="B59" s="43" t="s">
        <v>466</v>
      </c>
      <c r="C59" s="56">
        <f>VLOOKUP(A3,Data!A1:AQ88,26,FALSE)</f>
        <v>0.1923</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0.04</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0.67</v>
      </c>
      <c r="E74" s="23"/>
      <c r="F74" s="23"/>
      <c r="G74" s="23"/>
      <c r="H74" s="23"/>
      <c r="I74" s="23"/>
      <c r="J74" s="23"/>
    </row>
    <row r="75" spans="1:10" ht="11.25" customHeight="1" x14ac:dyDescent="0.2">
      <c r="A75" s="19"/>
      <c r="B75" s="43" t="s">
        <v>466</v>
      </c>
      <c r="C75" s="56">
        <f>VLOOKUP(A3,Data!A1:AQ88,32,FALSE)</f>
        <v>0.59830000000000005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v>
      </c>
      <c r="E90" s="23"/>
      <c r="F90" s="23"/>
      <c r="G90" s="23"/>
      <c r="H90" s="23"/>
      <c r="I90" s="23"/>
      <c r="J90" s="23"/>
    </row>
    <row r="91" spans="1:10" ht="11.25" customHeight="1" x14ac:dyDescent="0.2">
      <c r="A91" s="19"/>
      <c r="B91" s="43" t="s">
        <v>466</v>
      </c>
      <c r="C91" s="56">
        <f>VLOOKUP(A3,Data!A1:AQ88,38,FALSE)</f>
        <v>0.19620000000000001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0.03</v>
      </c>
      <c r="E98" s="23"/>
      <c r="F98" s="23"/>
      <c r="G98" s="23"/>
      <c r="H98" s="23"/>
      <c r="I98" s="23"/>
      <c r="J98" s="23"/>
    </row>
    <row r="99" spans="1:10" ht="11.25" customHeight="1" x14ac:dyDescent="0.2">
      <c r="A99" s="19"/>
      <c r="B99" s="43" t="s">
        <v>466</v>
      </c>
      <c r="C99" s="56">
        <f>VLOOKUP(A3,Data!A1:AQ88,41,FALSE)</f>
        <v>0.25</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9.5</v>
      </c>
      <c r="C104" s="63">
        <f>VLOOKUP(A3,Data!A1:AQ88,42,FALSE)</f>
        <v>1</v>
      </c>
      <c r="D104" s="99">
        <f>SUM(A104:C104)</f>
        <v>28.5</v>
      </c>
      <c r="E104" s="63">
        <f>VLOOKUP(A3,Data!A1:AQ88,43,FALSE)</f>
        <v>40</v>
      </c>
      <c r="F104" s="33">
        <f>D104/E104</f>
        <v>0.71250000000000002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XkTHWsJ9m8XZjReFokiu8LtDBtsoKiVuGEEVi0XiyQxgNLVfcWlQ3Yw9G0RCaZ4wFtOH4s4AyJh6DqgG1VksuA==" saltValue="q1d7IAaUlGE1+OTTa5vNV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2023-09-06T13:28:02Z</dcterms:modified>
</cp:coreProperties>
</file>