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A596FF19-AF5E-4468-8344-F1BD299C1746}" xr6:coauthVersionLast="47" xr6:coauthVersionMax="47" xr10:uidLastSave="{00000000-0000-0000-0000-000000000000}"/>
  <workbookProtection workbookAlgorithmName="SHA-512" workbookHashValue="oA9iI9JdyGfhJjU7gX11+V8U5FRcIDjaZ16+rlFSccn9JWm16EnZOFf4iOB9Fv3pIG411mtxQkdkExdbpSf8ZQ==" workbookSaltValue="JD1YwrZYVm00VlpFVnPwPQ=="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<sst xmlns="http://schemas.openxmlformats.org/spreadsheetml/2006/main" count="2581" uniqueCount="605">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</sst>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0.57750000000000001</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0.77080000000000004</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0.60560000000000003</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0.78</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0.75</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0.71830000000000005</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0.96</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0.96153846153846201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0.42859999999999998</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0.87755102040816302</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0.98701298701298701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0.83076923076923104</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0.17777777777777801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4.2857142857142899E-2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0.29729729729729698</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2.2222222222222199E-2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0.14583333333333301</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0.62960000000000005</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0.2</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0.16666666666666699</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0.25</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0.16666666666666699</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7.5308641975308593E-2</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0.20098522167487701</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0.48771898934765401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0.10780873753009999</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8.2926829268292701E-2</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0.29630000000000001</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0.16069932998325001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0.5383</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0.12670000000000001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0.98399999999999999</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9.0899999999999995E-2</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0.63639999999999997</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0.72729999999999995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0.65790000000000004</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2.63E-2</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6.3E-3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0.96</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8.9599999999999999E-2</c:v>
                </c:pt>
                <c:pt idx="3">
                  <c:v>0.16669999999999999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2.63E-2</c:v>
                </c:pt>
                <c:pt idx="3">
                  <c:v>0.45450000000000002</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4.41E-2</c:v>
                </c:pt>
                <c:pt idx="3">
                  <c:v>2.0799999999999999E-2</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0.56840000000000002</c:v>
                </c:pt>
                <c:pt idx="3">
                  <c:v>0.5383</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5.9200000000000003E-2</c:v>
                </c:pt>
                <c:pt idx="3">
                  <c:v>0.2291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0.13100000000000001</c:v>
                </c:pt>
                <c:pt idx="3">
                  <c:v>0.20899999999999999</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6.7799999999999999E-2</c:v>
                </c:pt>
                <c:pt idx="3">
                  <c:v>5.33E-2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3.3300000000000003E-2</c:v>
                </c:pt>
                <c:pt idx="3">
                  <c:v>1.32E-2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0.83609999999999995</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45</v>
      </c>
      <c r="B3" s="36"/>
      <c r="C3" s="36"/>
      <c r="D3" s="36"/>
      <c r="E3" s="36"/>
      <c r="F3" s="36"/>
      <c r="G3" s="36"/>
      <c r="H3" s="36"/>
      <c r="I3" s="36"/>
      <c r="J3" s="36"/>
      <c r="K3" s="36"/>
      <c r="L3" s="36"/>
      <c r="M3" s="36"/>
      <c r="N3" s="36"/>
      <c r="O3" s="10"/>
    </row>
    <row r="4" spans="1:20" s="9" customFormat="1" ht="11.25" x14ac:dyDescent="0.2">
      <c r="A4" s="9" t="str">
        <f>+VLOOKUP(A3,'Old Data'!A1:CM88,2,FALSE)</f>
        <v>611 Colleton Loop</v>
      </c>
      <c r="C4" s="12"/>
      <c r="E4" s="12"/>
      <c r="F4" s="12"/>
    </row>
    <row r="5" spans="1:20" s="9" customFormat="1" ht="11.25" x14ac:dyDescent="0.2">
      <c r="A5" s="9" t="str">
        <f>+VLOOKUP(A3,'Old Data'!A1:CM88,3,FALSE)</f>
        <v>Walterboro</v>
      </c>
      <c r="C5" s="12"/>
      <c r="E5" s="12"/>
      <c r="F5" s="12"/>
      <c r="G5" s="12" t="str">
        <f>+VLOOKUP(A3,'Old Data'!A1:CM88,4,FALSE)</f>
        <v>SC</v>
      </c>
      <c r="H5" s="12"/>
      <c r="I5" s="12">
        <f>+VLOOKUP(A3,'Old Data'!A1:CM88,5,FALSE)</f>
        <v>29488</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2.63E-2</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0.65790000000000004</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0.96</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0.96153846153846201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0.87755102040816302</v>
      </c>
      <c r="H25" s="66" t="s">
        <v>1</v>
      </c>
      <c r="I25" s="11" t="str">
        <f>IF(OR(G25="NA",G25="**"),"NA",IF(G25&lt;C25,"Not Met","Met"))</f>
        <v>Not 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0.96</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0.98701298701298701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0.83076923076923104</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0.17777777777777801</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4.2857142857142899E-2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0.29729729729729698</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2.2222222222222199E-2</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0.14583333333333301</v>
      </c>
      <c r="H52" s="66" t="s">
        <v>1</v>
      </c>
      <c r="I52" s="11" t="str">
        <f>IF(OR(G52="NA",G52="**"),"NA",IF(G52&lt;C52,"Not Met","Met"))</f>
        <v>Not 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0.2</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0.16666666666666699</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0.25</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0.16666666666666699</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7.5308641975308593E-2</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0.20098522167487701</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0.48771898934765401</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0.10780873753009999</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8.2926829268292701E-2</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0.16069932998325001</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0.5383</v>
      </c>
      <c r="H99" s="66" t="s">
        <v>1</v>
      </c>
      <c r="I99" s="11" t="str">
        <f t="shared" ref="I99" si="2">IF(OR(G99="NA",G99="**"),"NA",IF(G99&lt;C99,"Not Met","Met"))</f>
        <v>Not 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0.12670000000000001</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6.3E-3</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v>
      </c>
      <c r="H109" s="66" t="s">
        <v>1</v>
      </c>
      <c r="I109" s="11" t="str">
        <f>IF(OR(G109="NA",G109="**"),"NA",IF(G109&lt;C109,"Not Met","Met"))</f>
        <v>Not 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0.75</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0.42859999999999998</v>
      </c>
      <c r="H115" s="66" t="s">
        <v>1</v>
      </c>
      <c r="I115" s="11" t="str">
        <f t="shared" si="3"/>
        <v>Not 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0.62960000000000005</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0.29630000000000001</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v>
      </c>
      <c r="H127" s="66" t="s">
        <v>1</v>
      </c>
      <c r="I127" s="11" t="str">
        <f>IF(OR(G127="NA",G127="**"),"NA",IF(G127&gt;C127,"Not Met","Met"))</f>
        <v>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0.83609999999999995</v>
      </c>
      <c r="H138" s="66" t="s">
        <v>1</v>
      </c>
      <c r="I138" s="11" t="str">
        <f t="shared" si="3"/>
        <v>Not 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0.57750000000000001</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0.77080000000000004</v>
      </c>
      <c r="H146" s="66" t="s">
        <v>1</v>
      </c>
      <c r="I146" s="11" t="str">
        <f t="shared" si="3"/>
        <v>Not 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0.60560000000000003</v>
      </c>
      <c r="H150" s="66" t="s">
        <v>1</v>
      </c>
      <c r="I150" s="11" t="str">
        <f t="shared" si="3"/>
        <v>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0.78</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0.71830000000000005</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0.98399999999999999</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9.0899999999999995E-2</v>
      </c>
      <c r="H189" s="66" t="s">
        <v>1</v>
      </c>
      <c r="I189" s="11" t="str">
        <f t="shared" ref="I189" si="6">IF(OR(G189="NA",G189="**"),"NA",IF(G189&lt;C189,"Not Met","Met"))</f>
        <v>Not 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0.63639999999999997</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0.72729999999999995</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9+kTwib+8sUQFjwXhHPPsCTbNlxxCyhHOxmJmdkfSwrGn+6NbW17nir4zz4Wp816nTqtiQ8sCunjCW1BstMJ1w==" saltValue="gAkM4ku/2nZAVy9l2ReNcw=="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45</v>
      </c>
      <c r="B3" s="36"/>
      <c r="C3" s="36"/>
      <c r="D3" s="36"/>
      <c r="E3" s="36"/>
      <c r="F3" s="36"/>
      <c r="G3" s="36"/>
      <c r="H3" s="10"/>
      <c r="I3" s="10"/>
      <c r="J3" s="10"/>
    </row>
    <row r="4" spans="1:10" x14ac:dyDescent="0.2">
      <c r="A4" s="9" t="str">
        <f>VLOOKUP(A3,Data!A1:AQ88,2,FALSE)</f>
        <v>611 Colleton Loop</v>
      </c>
    </row>
    <row r="5" spans="1:10" x14ac:dyDescent="0.2">
      <c r="A5" s="9" t="str">
        <f>VLOOKUP(A3,Data!A1:AQ88,3,FALSE)</f>
        <v>Walterboro</v>
      </c>
      <c r="C5" s="12" t="str">
        <f>VLOOKUP(A3,Data!A1:AQ88,4,FALSE)</f>
        <v>SC</v>
      </c>
      <c r="D5" s="12">
        <f>VLOOKUP(A3,Data!A1:AQ88,5,FALSE)</f>
        <v>29488</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1</v>
      </c>
      <c r="C14" s="94" t="str">
        <f>IF(B14=0,"2 or more consecutive years of findings of non-compliance (current year and previous year(s))",
IF(B14=1,"Findings of non-compliance in the current year",
IF(B14=2,"No findings of non-compliance","")))</f>
        <v>Findings of non-compliance in the current year</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16</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1</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but improved since last year</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2.63E-2</v>
      </c>
      <c r="E34" s="23"/>
      <c r="F34" s="23"/>
      <c r="G34" s="23"/>
      <c r="H34" s="23"/>
      <c r="I34" s="23"/>
      <c r="J34" s="23"/>
    </row>
    <row r="35" spans="1:10" ht="11.25" customHeight="1" x14ac:dyDescent="0.2">
      <c r="A35" s="19"/>
      <c r="B35" s="43" t="s">
        <v>466</v>
      </c>
      <c r="C35" s="56">
        <f>VLOOKUP(A3,Data!A1:AQ88,17,FALSE)</f>
        <v>0.45450000000000002</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but improved since last year</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8.9599999999999999E-2</v>
      </c>
      <c r="E42" s="23"/>
      <c r="F42" s="23"/>
      <c r="G42" s="23"/>
      <c r="H42" s="23"/>
      <c r="I42" s="23"/>
      <c r="J42" s="23"/>
    </row>
    <row r="43" spans="1:10" ht="11.25" customHeight="1" x14ac:dyDescent="0.2">
      <c r="A43" s="19"/>
      <c r="B43" s="43" t="s">
        <v>466</v>
      </c>
      <c r="C43" s="56">
        <f>VLOOKUP(A3,Data!A1:AQ88,20,FALSE)</f>
        <v>0.16669999999999999</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and did not improve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6.7799999999999999E-2</v>
      </c>
      <c r="E50" s="23"/>
      <c r="F50" s="23"/>
      <c r="G50" s="23"/>
      <c r="H50" s="23"/>
      <c r="I50" s="23"/>
      <c r="J50" s="23"/>
    </row>
    <row r="51" spans="1:10" ht="11.25" customHeight="1" x14ac:dyDescent="0.2">
      <c r="A51" s="19"/>
      <c r="B51" s="43" t="s">
        <v>466</v>
      </c>
      <c r="C51" s="56">
        <f>VLOOKUP(A3,Data!A1:AQ88,23,FALSE)</f>
        <v>5.33E-2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4.41E-2</v>
      </c>
      <c r="E58" s="23"/>
      <c r="F58" s="23"/>
      <c r="G58" s="23"/>
      <c r="H58" s="23"/>
      <c r="I58" s="23"/>
      <c r="J58" s="23"/>
    </row>
    <row r="59" spans="1:10" ht="11.25" customHeight="1" x14ac:dyDescent="0.2">
      <c r="A59" s="19"/>
      <c r="B59" s="43" t="s">
        <v>466</v>
      </c>
      <c r="C59" s="56">
        <f>VLOOKUP(A3,Data!A1:AQ88,26,FALSE)</f>
        <v>2.0799999999999999E-2</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3.3300000000000003E-2</v>
      </c>
      <c r="E66" s="23"/>
      <c r="F66" s="23"/>
      <c r="G66" s="23"/>
      <c r="H66" s="23"/>
      <c r="I66" s="23"/>
      <c r="J66" s="23"/>
    </row>
    <row r="67" spans="1:10" ht="11.25" customHeight="1" x14ac:dyDescent="0.2">
      <c r="A67" s="19"/>
      <c r="B67" s="43" t="s">
        <v>466</v>
      </c>
      <c r="C67" s="56">
        <f>VLOOKUP(A3,Data!A1:AQ88,29,FALSE)</f>
        <v>1.32E-2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0</v>
      </c>
      <c r="C70" s="92" t="str">
        <f>IF(B70=0,"Does not meet prior year’s state performance and did not improve",
IF(B70=1,"Does not meet prior year’s state performance but improved since last year",
IF(B70=2,"Meets or exceeds prior year’s state performance",
IF(B70=3,"Meets or exceeds current state target",""))))</f>
        <v>Does not meet prior year’s state performance and did not improve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0.56840000000000002</v>
      </c>
      <c r="E74" s="23"/>
      <c r="F74" s="23"/>
      <c r="G74" s="23"/>
      <c r="H74" s="23"/>
      <c r="I74" s="23"/>
      <c r="J74" s="23"/>
    </row>
    <row r="75" spans="1:10" ht="11.25" customHeight="1" x14ac:dyDescent="0.2">
      <c r="A75" s="19"/>
      <c r="B75" s="43" t="s">
        <v>466</v>
      </c>
      <c r="C75" s="56">
        <f>VLOOKUP(A3,Data!A1:AQ88,32,FALSE)</f>
        <v>0.5383</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5.9200000000000003E-2</v>
      </c>
      <c r="E90" s="23"/>
      <c r="F90" s="23"/>
      <c r="G90" s="23"/>
      <c r="H90" s="23"/>
      <c r="I90" s="23"/>
      <c r="J90" s="23"/>
    </row>
    <row r="91" spans="1:10" ht="11.25" customHeight="1" x14ac:dyDescent="0.2">
      <c r="A91" s="19"/>
      <c r="B91" s="43" t="s">
        <v>466</v>
      </c>
      <c r="C91" s="56">
        <f>VLOOKUP(A3,Data!A1:AQ88,38,FALSE)</f>
        <v>0.2291</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1</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but improved since last year</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0.13100000000000001</v>
      </c>
      <c r="E98" s="23"/>
      <c r="F98" s="23"/>
      <c r="G98" s="23"/>
      <c r="H98" s="23"/>
      <c r="I98" s="23"/>
      <c r="J98" s="23"/>
    </row>
    <row r="99" spans="1:10" ht="11.25" customHeight="1" x14ac:dyDescent="0.2">
      <c r="A99" s="19"/>
      <c r="B99" s="43" t="s">
        <v>466</v>
      </c>
      <c r="C99" s="56">
        <f>VLOOKUP(A3,Data!A1:AQ88,41,FALSE)</f>
        <v>0.20899999999999999</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5.5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16</v>
      </c>
      <c r="B104" s="99">
        <f>B101</f>
        <v>5.5</v>
      </c>
      <c r="C104" s="63">
        <f>VLOOKUP(A3,Data!A1:AQ88,42,FALSE)</f>
        <v>1</v>
      </c>
      <c r="D104" s="99">
        <f>SUM(A104:C104)</f>
        <v>22.5</v>
      </c>
      <c r="E104" s="63">
        <f>VLOOKUP(A3,Data!A1:AQ88,43,FALSE)</f>
        <v>40</v>
      </c>
      <c r="F104" s="33">
        <f>D104/E104</f>
        <v>0.5625</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99hKY9AefFBKnFGH1T5RRHGFCdfXG4y69TKeFWsKZrNHfpJtJSbfOzquV3BbJrPqpzbNBuGnLd2R0sX6bVhdNg==" saltValue="G4mmDJCblJJiNgajbZMNT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2023-09-06T13:28:04Z</dcterms:modified>
</cp:coreProperties>
</file>