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280E56A2-D8F1-4550-9923-6B33F082A7BD}" xr6:coauthVersionLast="47" xr6:coauthVersionMax="47" xr10:uidLastSave="{00000000-0000-0000-0000-000000000000}"/>
  <workbookProtection workbookAlgorithmName="SHA-512" workbookHashValue="VxHePm1M02Tlm13Bcrjf4SouCWmdpbQaPQSiGU+kaDT/YwyEIDBfsjKNxxMSq4Puw2S0n2dTcHzFUOLHZlZZbQ==" workbookSaltValue="oDAA44eMp9rOdJMWVaZoIg=="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<sst xmlns="http://schemas.openxmlformats.org/spreadsheetml/2006/main" count="2581" uniqueCount="605">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</sst>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0.56000000000000005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0.93179999999999996</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0.48</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0.98799999999999999</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0.64</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0.67</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0.97140000000000004</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0.99212598425196896</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0.6</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0.97142857142857097</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0.97037037037036999</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8.40336134453782E-2</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8.2644628099173598E-2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0.42391304347826098</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0.11764705882352899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7.4999999999999997E-2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0.35199999999999998</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0.57142857142857095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0.44679999999999997</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0.5</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0.7</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0.71428571428571397</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0.28571428571428598</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0.33333333333333298</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0.27405219513548001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0.27359660612242498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0.38708836695897503</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0.154630168899243</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0.19110644257703099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0.40429999999999999</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0.20673493975903601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0.68289999999999995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0.1593</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0.13639999999999999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0.45450000000000002</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0.28770000000000001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0.65749999999999997</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1.21E-2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0.99212598425196896</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0.1193</c:v>
                </c:pt>
                <c:pt idx="3">
                  <c:v>0.1111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0.65749999999999997</c:v>
                </c:pt>
                <c:pt idx="3">
                  <c:v>0.52339999999999998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0.1</c:v>
                </c:pt>
                <c:pt idx="3">
                  <c:v>0.15079999999999999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0.66239999999999999</c:v>
                </c:pt>
                <c:pt idx="3">
                  <c:v>0.68289999999999995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8.48E-2</c:v>
                </c:pt>
                <c:pt idx="3">
                  <c:v>0.2261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0.187</c:v>
                </c:pt>
                <c:pt idx="3">
                  <c:v>0.4</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0.1008</c:v>
                </c:pt>
                <c:pt idx="3">
                  <c:v>0.12590000000000001</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0.0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6.9199999999999998E-2</c:v>
                </c:pt>
                <c:pt idx="3">
                  <c:v>9.7000000000000003E-2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0.9667</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46</v>
      </c>
      <c r="B3" s="36"/>
      <c r="C3" s="36"/>
      <c r="D3" s="36"/>
      <c r="E3" s="36"/>
      <c r="F3" s="36"/>
      <c r="G3" s="36"/>
      <c r="H3" s="36"/>
      <c r="I3" s="36"/>
      <c r="J3" s="36"/>
      <c r="K3" s="36"/>
      <c r="L3" s="36"/>
      <c r="M3" s="36"/>
      <c r="N3" s="36"/>
      <c r="O3" s="10"/>
    </row>
    <row r="4" spans="1:20" s="9" customFormat="1" ht="11.25" x14ac:dyDescent="0.2">
      <c r="A4" s="9" t="str">
        <f>+VLOOKUP(A3,'Old Data'!A1:CM88,2,FALSE)</f>
        <v>120 E. Smith Ave.</v>
      </c>
      <c r="C4" s="12"/>
      <c r="E4" s="12"/>
      <c r="F4" s="12"/>
    </row>
    <row r="5" spans="1:20" s="9" customFormat="1" ht="11.25" x14ac:dyDescent="0.2">
      <c r="A5" s="9" t="str">
        <f>+VLOOKUP(A3,'Old Data'!A1:CM88,3,FALSE)</f>
        <v>Darlington</v>
      </c>
      <c r="C5" s="12"/>
      <c r="E5" s="12"/>
      <c r="F5" s="12"/>
      <c r="G5" s="12" t="str">
        <f>+VLOOKUP(A3,'Old Data'!A1:CM88,4,FALSE)</f>
        <v>SC</v>
      </c>
      <c r="H5" s="12"/>
      <c r="I5" s="12">
        <f>+VLOOKUP(A3,'Old Data'!A1:CM88,5,FALSE)</f>
        <v>29532</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0.65749999999999997</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0.28770000000000001</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0.99212598425196896</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0.97142857142857097</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0.99212598425196896</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0.97037037037036999</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8.40336134453782E-2</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8.2644628099173598E-2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0.42391304347826098</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0.11764705882352899</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7.4999999999999997E-2</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0.35199999999999998</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0.57142857142857095</v>
      </c>
      <c r="H55" s="66" t="s">
        <v>1</v>
      </c>
      <c r="I55" s="11" t="str">
        <f>IF(OR(G55="NA",G55="**"),"NA",IF(G55&lt;C55,"Not Met","Met"))</f>
        <v>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0.5</v>
      </c>
      <c r="H58" s="66" t="s">
        <v>1</v>
      </c>
      <c r="I58" s="11" t="str">
        <f>IF(OR(G58="NA",G58="**"),"NA",IF(G58&lt;C58,"Not Met","Met"))</f>
        <v>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0.7</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0.71428571428571397</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0.28571428571428598</v>
      </c>
      <c r="H67" s="66" t="s">
        <v>1</v>
      </c>
      <c r="I67" s="11" t="str">
        <f>IF(OR(G67="NA",G67="**"),"NA",IF(G67&lt;C67,"Not Met","Met"))</f>
        <v>Not 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0.33333333333333298</v>
      </c>
      <c r="H70" s="66" t="s">
        <v>1</v>
      </c>
      <c r="I70" s="11" t="str">
        <f>IF(OR(G70="NA",G70="**"),"NA",IF(G70&lt;C70,"Not Met","Met"))</f>
        <v>Not 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0.27405219513548001</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0.27359660612242498</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0.38708836695897503</v>
      </c>
      <c r="H79" s="66" t="s">
        <v>1</v>
      </c>
      <c r="I79" s="11" t="str">
        <f>IF(OR(G79="NA",G79="**"),"NA",IF(G79&gt;C79,"Not Met","Met"))</f>
        <v>Not 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0.154630168899243</v>
      </c>
      <c r="H82" s="66" t="s">
        <v>1</v>
      </c>
      <c r="I82" s="11" t="str">
        <f>IF(OR(G82="NA",G82="**"),"NA",IF(G82&gt;C82,"Not Met","Met"))</f>
        <v>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0.19110644257703099</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0.20673493975903601</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Yes</v>
      </c>
      <c r="H95" s="66" t="s">
        <v>1</v>
      </c>
      <c r="I95" s="11" t="str">
        <f>IF(OR(G95="NA",G95="**"),"NA",IF(G95="No","Met",IF(G95="Yes","Not Met")))</f>
        <v>Not 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0.68289999999999995</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0.1593</v>
      </c>
      <c r="H102" s="66" t="s">
        <v>1</v>
      </c>
      <c r="I102" s="11" t="str">
        <f>IF(OR(G102="NA",G102="**"),"NA",IF(G102&gt;C102,"Not Met","Met"))</f>
        <v>Not 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1.21E-2</v>
      </c>
      <c r="H105" s="66" t="s">
        <v>1</v>
      </c>
      <c r="I105" s="11" t="str">
        <f>IF(OR(G105="NA",G105="**"),"NA",IF(G105&gt;C105,"Not Met","Met"))</f>
        <v>Not 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0.64</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0.6</v>
      </c>
      <c r="H115" s="66" t="s">
        <v>1</v>
      </c>
      <c r="I115" s="11" t="str">
        <f t="shared" si="3"/>
        <v>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0.44679999999999997</v>
      </c>
      <c r="H118" s="66" t="s">
        <v>1</v>
      </c>
      <c r="I118" s="11" t="str">
        <f>IF(OR(G118="NA",G118="**"),"NA",IF(G118&gt;C118,"Not Met","Met"))</f>
        <v>Not 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0.40429999999999999</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0</v>
      </c>
      <c r="H127" s="66" t="s">
        <v>1</v>
      </c>
      <c r="I127" s="11" t="str">
        <f>IF(OR(G127="NA",G127="**"),"NA",IF(G127&gt;C127,"Not Met","Met"))</f>
        <v>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0.9667</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0.56000000000000005</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0.93179999999999996</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0.48</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0.98799999999999999</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0.67</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0.97140000000000004</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0.13639999999999999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0.45450000000000002</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sIC+IpVsVI+X1Cv+6YO/f/6mqKJZlMNGDZyp7q/P+ZPWoWEEqMcazbkqnAa4bvbQQL7aKMSny4bR8MYuKbc8dQ==" saltValue="FM+SqKUDzsnykWGnaCYT8Q=="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46</v>
      </c>
      <c r="B3" s="36"/>
      <c r="C3" s="36"/>
      <c r="D3" s="36"/>
      <c r="E3" s="36"/>
      <c r="F3" s="36"/>
      <c r="G3" s="36"/>
      <c r="H3" s="10"/>
      <c r="I3" s="10"/>
      <c r="J3" s="10"/>
    </row>
    <row r="4" spans="1:10" x14ac:dyDescent="0.2">
      <c r="A4" s="9" t="str">
        <f>VLOOKUP(A3,Data!A1:AQ88,2,FALSE)</f>
        <v>120 E. Smith Ave.</v>
      </c>
    </row>
    <row r="5" spans="1:10" x14ac:dyDescent="0.2">
      <c r="A5" s="9" t="str">
        <f>VLOOKUP(A3,Data!A1:AQ88,3,FALSE)</f>
        <v>Darlington</v>
      </c>
      <c r="C5" s="12" t="str">
        <f>VLOOKUP(A3,Data!A1:AQ88,4,FALSE)</f>
        <v>SC</v>
      </c>
      <c r="D5" s="12">
        <f>VLOOKUP(A3,Data!A1:AQ88,5,FALSE)</f>
        <v>29532</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1</v>
      </c>
      <c r="C22" s="95" t="str">
        <f>IF(B22=0,"2 or more consecutive years of findings of non-compliance (current year and previous year(s))",
IF(B22=1,"Findings of non-compliance in the current year",
IF(B22=2,"No findings of non-compliance","")))</f>
        <v>Findings of non-compliance in the current year</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0</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and did not improve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0.65749999999999997</v>
      </c>
      <c r="E34" s="23"/>
      <c r="F34" s="23"/>
      <c r="G34" s="23"/>
      <c r="H34" s="23"/>
      <c r="I34" s="23"/>
      <c r="J34" s="23"/>
    </row>
    <row r="35" spans="1:10" ht="11.25" customHeight="1" x14ac:dyDescent="0.2">
      <c r="A35" s="19"/>
      <c r="B35" s="43" t="s">
        <v>466</v>
      </c>
      <c r="C35" s="56">
        <f>VLOOKUP(A3,Data!A1:AQ88,17,FALSE)</f>
        <v>0.52339999999999998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and did not improve</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0.1193</v>
      </c>
      <c r="E42" s="23"/>
      <c r="F42" s="23"/>
      <c r="G42" s="23"/>
      <c r="H42" s="23"/>
      <c r="I42" s="23"/>
      <c r="J42" s="23"/>
    </row>
    <row r="43" spans="1:10" ht="11.25" customHeight="1" x14ac:dyDescent="0.2">
      <c r="A43" s="19"/>
      <c r="B43" s="43" t="s">
        <v>466</v>
      </c>
      <c r="C43" s="56">
        <f>VLOOKUP(A3,Data!A1:AQ88,20,FALSE)</f>
        <v>0.1111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0.1008</v>
      </c>
      <c r="E50" s="23"/>
      <c r="F50" s="23"/>
      <c r="G50" s="23"/>
      <c r="H50" s="23"/>
      <c r="I50" s="23"/>
      <c r="J50" s="23"/>
    </row>
    <row r="51" spans="1:10" ht="11.25" customHeight="1" x14ac:dyDescent="0.2">
      <c r="A51" s="19"/>
      <c r="B51" s="43" t="s">
        <v>466</v>
      </c>
      <c r="C51" s="56">
        <f>VLOOKUP(A3,Data!A1:AQ88,23,FALSE)</f>
        <v>0.12590000000000001</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but improved since last year</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0.1</v>
      </c>
      <c r="E58" s="23"/>
      <c r="F58" s="23"/>
      <c r="G58" s="23"/>
      <c r="H58" s="23"/>
      <c r="I58" s="23"/>
      <c r="J58" s="23"/>
    </row>
    <row r="59" spans="1:10" ht="11.25" customHeight="1" x14ac:dyDescent="0.2">
      <c r="A59" s="19"/>
      <c r="B59" s="43" t="s">
        <v>466</v>
      </c>
      <c r="C59" s="56">
        <f>VLOOKUP(A3,Data!A1:AQ88,26,FALSE)</f>
        <v>0.15079999999999999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prior year’s state performance</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6.9199999999999998E-2</v>
      </c>
      <c r="E66" s="23"/>
      <c r="F66" s="23"/>
      <c r="G66" s="23"/>
      <c r="H66" s="23"/>
      <c r="I66" s="23"/>
      <c r="J66" s="23"/>
    </row>
    <row r="67" spans="1:10" ht="11.25" customHeight="1" x14ac:dyDescent="0.2">
      <c r="A67" s="19"/>
      <c r="B67" s="43" t="s">
        <v>466</v>
      </c>
      <c r="C67" s="56">
        <f>VLOOKUP(A3,Data!A1:AQ88,29,FALSE)</f>
        <v>9.7000000000000003E-2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0.66239999999999999</v>
      </c>
      <c r="E74" s="23"/>
      <c r="F74" s="23"/>
      <c r="G74" s="23"/>
      <c r="H74" s="23"/>
      <c r="I74" s="23"/>
      <c r="J74" s="23"/>
    </row>
    <row r="75" spans="1:10" ht="11.25" customHeight="1" x14ac:dyDescent="0.2">
      <c r="A75" s="19"/>
      <c r="B75" s="43" t="s">
        <v>466</v>
      </c>
      <c r="C75" s="56">
        <f>VLOOKUP(A3,Data!A1:AQ88,32,FALSE)</f>
        <v>0.68289999999999995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0</v>
      </c>
      <c r="C86" s="92" t="str">
        <f>IF(B86=0,"Does not meet prior year’s state performance and did not improve",
IF(B86=1,"Does not meet prior year’s state performance but improved since last year",
IF(B86=2,"Meets or exceeds prior year’s state performance",
IF(B86=3,"Meets or exceeds current state target",""))))</f>
        <v>Does not meet prior year’s state performance and did not improve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8.48E-2</v>
      </c>
      <c r="E90" s="23"/>
      <c r="F90" s="23"/>
      <c r="G90" s="23"/>
      <c r="H90" s="23"/>
      <c r="I90" s="23"/>
      <c r="J90" s="23"/>
    </row>
    <row r="91" spans="1:10" ht="11.25" customHeight="1" x14ac:dyDescent="0.2">
      <c r="A91" s="19"/>
      <c r="B91" s="43" t="s">
        <v>466</v>
      </c>
      <c r="C91" s="56">
        <f>VLOOKUP(A3,Data!A1:AQ88,38,FALSE)</f>
        <v>0.2261</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3</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current state target</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0.187</v>
      </c>
      <c r="E98" s="23"/>
      <c r="F98" s="23"/>
      <c r="G98" s="23"/>
      <c r="H98" s="23"/>
      <c r="I98" s="23"/>
      <c r="J98" s="23"/>
    </row>
    <row r="99" spans="1:10" ht="11.25" customHeight="1" x14ac:dyDescent="0.2">
      <c r="A99" s="19"/>
      <c r="B99" s="43" t="s">
        <v>466</v>
      </c>
      <c r="C99" s="56">
        <f>VLOOKUP(A3,Data!A1:AQ88,41,FALSE)</f>
        <v>0.4</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10.5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10.5</v>
      </c>
      <c r="C104" s="63">
        <f>VLOOKUP(A3,Data!A1:AQ88,42,FALSE)</f>
        <v>1</v>
      </c>
      <c r="D104" s="99">
        <f>SUM(A104:C104)</f>
        <v>28.5</v>
      </c>
      <c r="E104" s="63">
        <f>VLOOKUP(A3,Data!A1:AQ88,43,FALSE)</f>
        <v>40</v>
      </c>
      <c r="F104" s="33">
        <f>D104/E104</f>
        <v>0.71250000000000002</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vVGJlWsdx1SWxStYi4KWjORI1CXi7B3mIi4h8Ix+1db3ObUsAIFy8Bnf3UMONWCnsEa/QSwj7+1ZOS54+6mOgA==" saltValue="KNlKgVOzSisfSDmJPPr+Q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2023-09-06T13:28:06Z</dcterms:modified>
</cp:coreProperties>
</file>