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BE110165-92F3-49C8-A71D-721D4C2536EC}" xr6:coauthVersionLast="47" xr6:coauthVersionMax="47" xr10:uidLastSave="{00000000-0000-0000-0000-000000000000}"/>
  <workbookProtection workbookAlgorithmName="SHA-512" workbookHashValue="adj2msMSIN78iulgBHa+5MfjRQU6VmQJgXGynUMusOpjxf+WrFs3ja4XFYJoPRcp8iS0KVT0Ie3vb3M5S9hoOw==" workbookSaltValue="16SwxAXMkWvbRh719YmGmg=="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<sst xmlns="http://schemas.openxmlformats.org/spreadsheetml/2006/main" count="2581" uniqueCount="605">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</sst>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1</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0.42859999999999998</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0.66669999999999996</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0.42859999999999998</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0.8</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0.57140000000000002</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0.5</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0.84615384615384603</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0.84615384615384603</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0.25</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0.55555555555555602</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0.25</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0.2</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1</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1</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0.26327433628318597</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0.48979591836734698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0.34661835748792302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0.22787610619469001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0.22448979591836701</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0.25161290322580598</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0.82669999999999999</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0.14000000000000001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0.6</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0.6</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0.4</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0.6</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0</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0.3</c:v>
                </c:pt>
                <c:pt idx="3">
                  <c:v>0.28570000000000001</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0.6</c:v>
                </c:pt>
                <c:pt idx="3">
                  <c:v>0.8</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0.5</c:v>
                </c:pt>
                <c:pt idx="3">
                  <c:v>0.35709999999999997</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0.85540000000000005</c:v>
                </c:pt>
                <c:pt idx="3">
                  <c:v>0.82669999999999999</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6.0199999999999997E-2</c:v>
                </c:pt>
                <c:pt idx="3">
                  <c:v>0.23230000000000001</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0.182</c:v>
                </c:pt>
                <c:pt idx="3">
                  <c:v>0</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0.22220000000000001</c:v>
                </c:pt>
                <c:pt idx="3">
                  <c:v>0</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0.22220000000000001</c:v>
                </c:pt>
                <c:pt idx="3">
                  <c:v>0</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0.85709999999999997</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47</v>
      </c>
      <c r="B3" s="36"/>
      <c r="C3" s="36"/>
      <c r="D3" s="36"/>
      <c r="E3" s="36"/>
      <c r="F3" s="36"/>
      <c r="G3" s="36"/>
      <c r="H3" s="36"/>
      <c r="I3" s="36"/>
      <c r="J3" s="36"/>
      <c r="K3" s="36"/>
      <c r="L3" s="36"/>
      <c r="M3" s="36"/>
      <c r="N3" s="36"/>
      <c r="O3" s="10"/>
    </row>
    <row r="4" spans="1:20" s="9" customFormat="1" ht="11.25" x14ac:dyDescent="0.2">
      <c r="A4" s="9" t="str">
        <f>+VLOOKUP(A3,'Old Data'!A1:CM88,2,FALSE)</f>
        <v>205 King Street</v>
      </c>
      <c r="C4" s="12"/>
      <c r="E4" s="12"/>
      <c r="F4" s="12"/>
    </row>
    <row r="5" spans="1:20" s="9" customFormat="1" ht="11.25" x14ac:dyDescent="0.2">
      <c r="A5" s="9" t="str">
        <f>+VLOOKUP(A3,'Old Data'!A1:CM88,3,FALSE)</f>
        <v>Latta</v>
      </c>
      <c r="C5" s="12"/>
      <c r="E5" s="12"/>
      <c r="F5" s="12"/>
      <c r="G5" s="12" t="str">
        <f>+VLOOKUP(A3,'Old Data'!A1:CM88,4,FALSE)</f>
        <v>SC</v>
      </c>
      <c r="H5" s="12"/>
      <c r="I5" s="12">
        <f>+VLOOKUP(A3,'Old Data'!A1:CM88,5,FALSE)</f>
        <v>29565</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0.6</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0.4</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0.84615384615384603</v>
      </c>
      <c r="H22" s="66" t="s">
        <v>1</v>
      </c>
      <c r="I22" s="11" t="str">
        <f>IF(OR(G22="NA",G22="**"),"NA",IF(G22&lt;C22,"Not Met","Met"))</f>
        <v>Not 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1</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0.84615384615384603</v>
      </c>
      <c r="H31" s="66" t="s">
        <v>1</v>
      </c>
      <c r="I31" s="11" t="str">
        <f>IF(OR(G31="NA",G31="**"),"NA",IF(G31&lt;C31,"Not Met","Met"))</f>
        <v>Not 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1</v>
      </c>
      <c r="H34" s="66" t="s">
        <v>1</v>
      </c>
      <c r="I34" s="11" t="str">
        <f>IF(OR(G34="NA",G34="**"),"NA",IF(G34&lt;C34,"Not Met","Met"))</f>
        <v>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0.25</v>
      </c>
      <c r="H37" s="66" t="s">
        <v>1</v>
      </c>
      <c r="I37" s="11" t="str">
        <f>IF(OR(G37="NA",G37="**"),"NA",IF(G37&lt;C37,"Not Met","Met"))</f>
        <v>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0</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0.55555555555555602</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0.25</v>
      </c>
      <c r="H46" s="66" t="s">
        <v>1</v>
      </c>
      <c r="I46" s="11" t="str">
        <f>IF(OR(G46="NA",G46="**"),"NA",IF(G46&lt;C46,"Not Met","Met"))</f>
        <v>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0.2</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0.5</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v>
      </c>
      <c r="H61" s="66" t="s">
        <v>1</v>
      </c>
      <c r="I61" s="11" t="str">
        <f>IF(OR(G61="NA",G61="**"),"NA",IF(G61&lt;C61,"Not Met","Met"))</f>
        <v>Not 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1</v>
      </c>
      <c r="H64" s="66" t="s">
        <v>1</v>
      </c>
      <c r="I64" s="11" t="str">
        <f>IF(OR(G64="NA",G64="**"),"NA",IF(G64&lt;C64,"Not Met","Met"))</f>
        <v>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v>
      </c>
      <c r="H67" s="66" t="s">
        <v>1</v>
      </c>
      <c r="I67" s="11" t="str">
        <f>IF(OR(G67="NA",G67="**"),"NA",IF(G67&lt;C67,"Not Met","Met"))</f>
        <v>Not 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v>
      </c>
      <c r="H70" s="66" t="s">
        <v>1</v>
      </c>
      <c r="I70" s="11" t="str">
        <f>IF(OR(G70="NA",G70="**"),"NA",IF(G70&lt;C70,"Not Met","Met"))</f>
        <v>Not 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0.26327433628318597</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0.48979591836734698</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0.34661835748792302</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0.22787610619469001</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0.22448979591836701</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0.25161290322580598</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0.82669999999999999</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0.14000000000000001</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0</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1</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t="str">
        <f>VLOOKUP(A3,'Old Data'!A1:CM88,67,FALSE)</f>
        <v>NA</v>
      </c>
      <c r="H112" s="66" t="s">
        <v>1</v>
      </c>
      <c r="I112" s="11" t="str">
        <f t="shared" ref="I112:I180" si="3">IF(OR(G112="NA",G112="**"),"NA",IF(G112&lt;C112,"Not Met","Met"))</f>
        <v>NA</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t="str">
        <f>VLOOKUP(A3,'Old Data'!A1:CM88,68,FALSE)</f>
        <v>NA</v>
      </c>
      <c r="H115" s="66" t="s">
        <v>1</v>
      </c>
      <c r="I115" s="11" t="str">
        <f t="shared" si="3"/>
        <v>NA</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1</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t="str">
        <f>VLOOKUP(A3,'Old Data'!A1:CM88,70,FALSE)</f>
        <v>NA</v>
      </c>
      <c r="H121" s="66" t="s">
        <v>1</v>
      </c>
      <c r="I121" s="11" t="str">
        <f>IF(OR(G121="NA",G121="**"),"NA",IF(G121&gt;C121,"Not Met","Met"))</f>
        <v>NA</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t="str">
        <f>VLOOKUP(A3,'Old Data'!A1:CM88,71,FALSE)</f>
        <v>NA</v>
      </c>
      <c r="H124" s="66" t="s">
        <v>1</v>
      </c>
      <c r="I124" s="11" t="str">
        <f>IF(OR(G124="NA",G124="**"),"NA",IF(G124&gt;C124,"Not Met","Met"))</f>
        <v>NA</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t="str">
        <f>VLOOKUP(A3,'Old Data'!A1:CM88,72,FALSE)</f>
        <v>NA</v>
      </c>
      <c r="H127" s="66" t="s">
        <v>1</v>
      </c>
      <c r="I127" s="11" t="str">
        <f>IF(OR(G127="NA",G127="**"),"NA",IF(G127&gt;C127,"Not Met","Met"))</f>
        <v>NA</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t="str">
        <f>VLOOKUP(A3,'Old Data'!A1:CM88,73,FALSE)</f>
        <v>NA</v>
      </c>
      <c r="H130" s="66" t="s">
        <v>1</v>
      </c>
      <c r="I130" s="11" t="str">
        <f>IF(OR(G130="NA",G130="**"),"NA",IF(G130&gt;C130,"Not Met","Met"))</f>
        <v>NA</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0.85709999999999997</v>
      </c>
      <c r="H138" s="66" t="s">
        <v>1</v>
      </c>
      <c r="I138" s="11" t="str">
        <f t="shared" si="3"/>
        <v>Not 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0.42859999999999998</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0.66669999999999996</v>
      </c>
      <c r="H146" s="66" t="s">
        <v>1</v>
      </c>
      <c r="I146" s="11" t="str">
        <f t="shared" si="3"/>
        <v>Not 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0.42859999999999998</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0.8</v>
      </c>
      <c r="H154" s="66" t="s">
        <v>1</v>
      </c>
      <c r="I154" s="11" t="str">
        <f t="shared" si="3"/>
        <v>Not 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0.57140000000000002</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0.5</v>
      </c>
      <c r="H162" s="66" t="s">
        <v>1</v>
      </c>
      <c r="I162" s="11" t="str">
        <f t="shared" ref="I162" si="4">IF(OR(G162="NA",G162="**"),"NA",IF(G162&lt;C162,"Not Met","Met"))</f>
        <v>Not 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v>
      </c>
      <c r="H189" s="66" t="s">
        <v>1</v>
      </c>
      <c r="I189" s="11" t="str">
        <f t="shared" ref="I189" si="6">IF(OR(G189="NA",G189="**"),"NA",IF(G189&lt;C189,"Not Met","Met"))</f>
        <v>Not 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0.6</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0.6</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G+REe0pZsDsH6n1gAwq7dL0pYO0Vd/JP/TAzZuoQkgacvDXC2iZOUAb7S8to/0CP9xLCRz87n5pKRuCDFIjI+A==" saltValue="UAi6pMMn3wFEuCjd4o+4W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47</v>
      </c>
      <c r="B3" s="36"/>
      <c r="C3" s="36"/>
      <c r="D3" s="36"/>
      <c r="E3" s="36"/>
      <c r="F3" s="36"/>
      <c r="G3" s="36"/>
      <c r="H3" s="10"/>
      <c r="I3" s="10"/>
      <c r="J3" s="10"/>
    </row>
    <row r="4" spans="1:10" x14ac:dyDescent="0.2">
      <c r="A4" s="9" t="str">
        <f>VLOOKUP(A3,Data!A1:AQ88,2,FALSE)</f>
        <v>205 King Street</v>
      </c>
    </row>
    <row r="5" spans="1:10" x14ac:dyDescent="0.2">
      <c r="A5" s="9" t="str">
        <f>VLOOKUP(A3,Data!A1:AQ88,3,FALSE)</f>
        <v>Latta</v>
      </c>
      <c r="C5" s="12" t="str">
        <f>VLOOKUP(A3,Data!A1:AQ88,4,FALSE)</f>
        <v>SC</v>
      </c>
      <c r="D5" s="12">
        <f>VLOOKUP(A3,Data!A1:AQ88,5,FALSE)</f>
        <v>29565</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18</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3</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current state target</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0.6</v>
      </c>
      <c r="E34" s="23"/>
      <c r="F34" s="23"/>
      <c r="G34" s="23"/>
      <c r="H34" s="23"/>
      <c r="I34" s="23"/>
      <c r="J34" s="23"/>
    </row>
    <row r="35" spans="1:10" ht="11.25" customHeight="1" x14ac:dyDescent="0.2">
      <c r="A35" s="19"/>
      <c r="B35" s="43" t="s">
        <v>466</v>
      </c>
      <c r="C35" s="56">
        <f>VLOOKUP(A3,Data!A1:AQ88,17,FALSE)</f>
        <v>0.8</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1.5</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Meets or exceeds current state target</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0.3</v>
      </c>
      <c r="E42" s="23"/>
      <c r="F42" s="23"/>
      <c r="G42" s="23"/>
      <c r="H42" s="23"/>
      <c r="I42" s="23"/>
      <c r="J42" s="23"/>
    </row>
    <row r="43" spans="1:10" ht="11.25" customHeight="1" x14ac:dyDescent="0.2">
      <c r="A43" s="19"/>
      <c r="B43" s="43" t="s">
        <v>466</v>
      </c>
      <c r="C43" s="56">
        <f>VLOOKUP(A3,Data!A1:AQ88,20,FALSE)</f>
        <v>0.28570000000000001</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0</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Does not meet prior year’s state performance and did not improve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0.22220000000000001</v>
      </c>
      <c r="E50" s="23"/>
      <c r="F50" s="23"/>
      <c r="G50" s="23"/>
      <c r="H50" s="23"/>
      <c r="I50" s="23"/>
      <c r="J50" s="23"/>
    </row>
    <row r="51" spans="1:10" ht="11.25" customHeight="1" x14ac:dyDescent="0.2">
      <c r="A51" s="19"/>
      <c r="B51" s="43" t="s">
        <v>466</v>
      </c>
      <c r="C51" s="56">
        <f>VLOOKUP(A3,Data!A1:AQ88,23,FALSE)</f>
        <v>0</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1.5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Meets or exceeds current state target</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0.5</v>
      </c>
      <c r="E58" s="23"/>
      <c r="F58" s="23"/>
      <c r="G58" s="23"/>
      <c r="H58" s="23"/>
      <c r="I58" s="23"/>
      <c r="J58" s="23"/>
    </row>
    <row r="59" spans="1:10" ht="11.25" customHeight="1" x14ac:dyDescent="0.2">
      <c r="A59" s="19"/>
      <c r="B59" s="43" t="s">
        <v>466</v>
      </c>
      <c r="C59" s="56">
        <f>VLOOKUP(A3,Data!A1:AQ88,26,FALSE)</f>
        <v>0.35709999999999997</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0.22220000000000001</v>
      </c>
      <c r="E66" s="23"/>
      <c r="F66" s="23"/>
      <c r="G66" s="23"/>
      <c r="H66" s="23"/>
      <c r="I66" s="23"/>
      <c r="J66" s="23"/>
    </row>
    <row r="67" spans="1:10" ht="11.25" customHeight="1" x14ac:dyDescent="0.2">
      <c r="A67" s="19"/>
      <c r="B67" s="43" t="s">
        <v>466</v>
      </c>
      <c r="C67" s="56">
        <f>VLOOKUP(A3,Data!A1:AQ88,29,FALSE)</f>
        <v>0</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3</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current state target</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0.85540000000000005</v>
      </c>
      <c r="E74" s="23"/>
      <c r="F74" s="23"/>
      <c r="G74" s="23"/>
      <c r="H74" s="23"/>
      <c r="I74" s="23"/>
      <c r="J74" s="23"/>
    </row>
    <row r="75" spans="1:10" ht="11.25" customHeight="1" x14ac:dyDescent="0.2">
      <c r="A75" s="19"/>
      <c r="B75" s="43" t="s">
        <v>466</v>
      </c>
      <c r="C75" s="56">
        <f>VLOOKUP(A3,Data!A1:AQ88,32,FALSE)</f>
        <v>0.82669999999999999</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6.0199999999999997E-2</v>
      </c>
      <c r="E90" s="23"/>
      <c r="F90" s="23"/>
      <c r="G90" s="23"/>
      <c r="H90" s="23"/>
      <c r="I90" s="23"/>
      <c r="J90" s="23"/>
    </row>
    <row r="91" spans="1:10" ht="11.25" customHeight="1" x14ac:dyDescent="0.2">
      <c r="A91" s="19"/>
      <c r="B91" s="43" t="s">
        <v>466</v>
      </c>
      <c r="C91" s="56">
        <f>VLOOKUP(A3,Data!A1:AQ88,38,FALSE)</f>
        <v>0.23230000000000001</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0</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and did not improve</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0.182</v>
      </c>
      <c r="E98" s="23"/>
      <c r="F98" s="23"/>
      <c r="G98" s="23"/>
      <c r="H98" s="23"/>
      <c r="I98" s="23"/>
      <c r="J98" s="23"/>
    </row>
    <row r="99" spans="1:10" ht="11.25" customHeight="1" x14ac:dyDescent="0.2">
      <c r="A99" s="19"/>
      <c r="B99" s="43" t="s">
        <v>466</v>
      </c>
      <c r="C99" s="56">
        <f>VLOOKUP(A3,Data!A1:AQ88,41,FALSE)</f>
        <v>0</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12</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18</v>
      </c>
      <c r="B104" s="99">
        <f>B101</f>
        <v>12</v>
      </c>
      <c r="C104" s="63">
        <f>VLOOKUP(A3,Data!A1:AQ88,42,FALSE)</f>
        <v>1</v>
      </c>
      <c r="D104" s="99">
        <f>SUM(A104:C104)</f>
        <v>31</v>
      </c>
      <c r="E104" s="63">
        <f>VLOOKUP(A3,Data!A1:AQ88,43,FALSE)</f>
        <v>40</v>
      </c>
      <c r="F104" s="33">
        <f>D104/E104</f>
        <v>0.77500000000000002</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a1WhkqRdBWSLoNvFG65GyqO2m1ocdZplkA8UDKIGAJ6WI+kP5f3YovKgIGf27miif20T77rpw7t8ywZoeuAIbw==" saltValue="Ju9tmuGpeNBBamSXWMHKcA=="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2023-09-06T13:28:07Z</dcterms:modified>
</cp:coreProperties>
</file>