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7802BE4D-8EC8-4DBF-B0A5-61F90807C986}" xr6:coauthVersionLast="47" xr6:coauthVersionMax="47" xr10:uidLastSave="{00000000-0000-0000-0000-000000000000}"/>
  <workbookProtection workbookAlgorithmName="SHA-512" workbookHashValue="LBvIehvHe+XQWEmDsWE5TiDMOrSWfMwvUcY1qaKWrOLTKFhkseahzFytvsshdM3WfcPKWUEBqpXAgB7yGNueUg==" workbookSaltValue="qHQCGcwjWGkM3zbdWQK4O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<sst xmlns="http://schemas.openxmlformats.org/spreadsheetml/2006/main" count="2581" uniqueCount="605">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</sst>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4.3999999999999997E-2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0.40479999999999999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0.62170000000000003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0.40139999999999998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0.59830000000000005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0.56040000000000001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0.5272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0.99616858237547901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0.96652719665272002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0.46429999999999999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0.90833333333333299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0.96234309623431002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0.90047393364928896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0.21721311475409799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7.10900473933649E-2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0.44334975369458102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0.204918032786885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4.2857142857142899E-2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0.30601092896174897</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0.375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0.33979999999999999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0.133333333333333</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0.375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0.37115253621543098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0.42270173866203098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0.45026726758201402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0.266289054699272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0.30659235451001798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0.46600000000000003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0.40953970745219698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0.57689999999999997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0.13589999999999999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0.99739999999999995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0.23810000000000001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0.73809999999999998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0.76190000000000002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0.247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0.4819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1.9199999999999998E-2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0.99616858237547901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0.22500000000000001</c:v>
                </c:pt>
                <c:pt idx="3">
                  <c:v>0.22689999999999999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2.1999999999999999E-2</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0.4819</c:v>
                </c:pt>
                <c:pt idx="3">
                  <c:v>0.53680000000000005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0.2107</c:v>
                </c:pt>
                <c:pt idx="3">
                  <c:v>0.21540000000000001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0.56059999999999999</c:v>
                </c:pt>
                <c:pt idx="3">
                  <c:v>0.57689999999999997</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7.5999999999999998E-2</c:v>
                </c:pt>
                <c:pt idx="3">
                  <c:v>0.16900000000000001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0.25900000000000001</c:v>
                </c:pt>
                <c:pt idx="3">
                  <c:v>0.45500000000000002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9.9000000000000005E-2</c:v>
                </c:pt>
                <c:pt idx="3">
                  <c:v>9.0899999999999995E-2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7.7700000000000005E-2</c:v>
                </c:pt>
                <c:pt idx="3">
                  <c:v>7.8299999999999995E-2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3.5700000000000003E-2</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0.6038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49</v>
      </c>
      <c r="B3" s="36"/>
      <c r="C3" s="36"/>
      <c r="D3" s="36"/>
      <c r="E3" s="36"/>
      <c r="F3" s="36"/>
      <c r="G3" s="36"/>
      <c r="H3" s="36"/>
      <c r="I3" s="36"/>
      <c r="J3" s="36"/>
      <c r="K3" s="36"/>
      <c r="L3" s="36"/>
      <c r="M3" s="36"/>
      <c r="N3" s="36"/>
      <c r="O3" s="10"/>
    </row>
    <row r="4" spans="1:20" s="9" customFormat="1" ht="11.25" x14ac:dyDescent="0.2">
      <c r="A4" s="9" t="str">
        <f>+VLOOKUP(A3,'Old Data'!A1:CM88,2,FALSE)</f>
        <v>1325-C Boone Hill Road</v>
      </c>
      <c r="C4" s="12"/>
      <c r="E4" s="12"/>
      <c r="F4" s="12"/>
    </row>
    <row r="5" spans="1:20" s="9" customFormat="1" ht="11.25" x14ac:dyDescent="0.2">
      <c r="A5" s="9" t="str">
        <f>+VLOOKUP(A3,'Old Data'!A1:CM88,3,FALSE)</f>
        <v>Summerville</v>
      </c>
      <c r="C5" s="12"/>
      <c r="E5" s="12"/>
      <c r="F5" s="12"/>
      <c r="G5" s="12" t="str">
        <f>+VLOOKUP(A3,'Old Data'!A1:CM88,4,FALSE)</f>
        <v>SC</v>
      </c>
      <c r="H5" s="12"/>
      <c r="I5" s="12">
        <f>+VLOOKUP(A3,'Old Data'!A1:CM88,5,FALSE)</f>
        <v>29483</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0.4819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0.247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0.99616858237547901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0.96652719665272002</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0.90833333333333299</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0.99616858237547901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0.96234309623431002</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0.90047393364928896</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0.21721311475409799</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7.10900473933649E-2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0.44334975369458102</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0.204918032786885</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4.2857142857142899E-2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0.30601092896174897</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0.375</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0.133333333333333</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0.375</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0.37115253621543098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0.42270173866203098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0.45026726758201402</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0.266289054699272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0.30659235451001798</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0.40953970745219698</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Yes</v>
      </c>
      <c r="H95" s="66" t="s">
        <v>1</v>
      </c>
      <c r="I95" s="11" t="str">
        <f>IF(OR(G95="NA",G95="**"),"NA",IF(G95="No","Met",IF(G95="Yes","Not Met")))</f>
        <v>Not 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0.57689999999999997</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0.13589999999999999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1.9199999999999998E-2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4.3999999999999997E-2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0.56040000000000001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0.46429999999999999</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0.33979999999999999</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0.46600000000000003</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2.1999999999999999E-2</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3.5700000000000003E-2</v>
      </c>
      <c r="H133" s="66" t="s">
        <v>1</v>
      </c>
      <c r="I133" s="11" t="str">
        <f>IF(OR(G133="NA",G133="**"),"NA",IF(G133&gt;C133,"Not Met","Met"))</f>
        <v>Not 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0.6038</v>
      </c>
      <c r="H138" s="66" t="s">
        <v>1</v>
      </c>
      <c r="I138" s="11" t="str">
        <f t="shared" si="3"/>
        <v>Not 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0.40479999999999999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0.62170000000000003</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0.40139999999999998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0.59830000000000005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0.5272</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0.99739999999999995</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0.23810000000000001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0.73809999999999998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0.76190000000000002</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4C7NrkX1S6I2o5mTOgr1i5TqaimAGF8TNlepljLtzHqzx2tGiuh02yKzXjn7aA0ehtpbCRFxv5bn/wrNeKNKQ==" saltValue="772GEZ4JyNsKpBqpmyy2k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49</v>
      </c>
      <c r="B3" s="36"/>
      <c r="C3" s="36"/>
      <c r="D3" s="36"/>
      <c r="E3" s="36"/>
      <c r="F3" s="36"/>
      <c r="G3" s="36"/>
      <c r="H3" s="10"/>
      <c r="I3" s="10"/>
      <c r="J3" s="10"/>
    </row>
    <row r="4" spans="1:10" x14ac:dyDescent="0.2">
      <c r="A4" s="9" t="str">
        <f>VLOOKUP(A3,Data!A1:AQ88,2,FALSE)</f>
        <v>1325-C Boone Hill Road</v>
      </c>
    </row>
    <row r="5" spans="1:10" x14ac:dyDescent="0.2">
      <c r="A5" s="9" t="str">
        <f>VLOOKUP(A3,Data!A1:AQ88,3,FALSE)</f>
        <v>Summerville</v>
      </c>
      <c r="C5" s="12" t="str">
        <f>VLOOKUP(A3,Data!A1:AQ88,4,FALSE)</f>
        <v>SC</v>
      </c>
      <c r="D5" s="12">
        <f>VLOOKUP(A3,Data!A1:AQ88,5,FALSE)</f>
        <v>29483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1</v>
      </c>
      <c r="C22" s="95" t="str">
        <f>IF(B22=0,"2 or more consecutive years of findings of non-compliance (current year and previous year(s))",
IF(B22=1,"Findings of non-compliance in the current year",
IF(B22=2,"No findings of non-compliance","")))</f>
        <v>Findings of non-compliance in the current year</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0.4819</v>
      </c>
      <c r="E34" s="23"/>
      <c r="F34" s="23"/>
      <c r="G34" s="23"/>
      <c r="H34" s="23"/>
      <c r="I34" s="23"/>
      <c r="J34" s="23"/>
    </row>
    <row r="35" spans="1:10" ht="11.25" customHeight="1" x14ac:dyDescent="0.2">
      <c r="A35" s="19"/>
      <c r="B35" s="43" t="s">
        <v>466</v>
      </c>
      <c r="C35" s="56">
        <f>VLOOKUP(A3,Data!A1:AQ88,17,FALSE)</f>
        <v>0.53680000000000005</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0.22500000000000001</v>
      </c>
      <c r="E42" s="23"/>
      <c r="F42" s="23"/>
      <c r="G42" s="23"/>
      <c r="H42" s="23"/>
      <c r="I42" s="23"/>
      <c r="J42" s="23"/>
    </row>
    <row r="43" spans="1:10" ht="11.25" customHeight="1" x14ac:dyDescent="0.2">
      <c r="A43" s="19"/>
      <c r="B43" s="43" t="s">
        <v>466</v>
      </c>
      <c r="C43" s="56">
        <f>VLOOKUP(A3,Data!A1:AQ88,20,FALSE)</f>
        <v>0.22689999999999999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9.9000000000000005E-2</v>
      </c>
      <c r="E50" s="23"/>
      <c r="F50" s="23"/>
      <c r="G50" s="23"/>
      <c r="H50" s="23"/>
      <c r="I50" s="23"/>
      <c r="J50" s="23"/>
    </row>
    <row r="51" spans="1:10" ht="11.25" customHeight="1" x14ac:dyDescent="0.2">
      <c r="A51" s="19"/>
      <c r="B51" s="43" t="s">
        <v>466</v>
      </c>
      <c r="C51" s="56">
        <f>VLOOKUP(A3,Data!A1:AQ88,23,FALSE)</f>
        <v>9.0899999999999995E-2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prior year’s state performance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0.2107</v>
      </c>
      <c r="E58" s="23"/>
      <c r="F58" s="23"/>
      <c r="G58" s="23"/>
      <c r="H58" s="23"/>
      <c r="I58" s="23"/>
      <c r="J58" s="23"/>
    </row>
    <row r="59" spans="1:10" ht="11.25" customHeight="1" x14ac:dyDescent="0.2">
      <c r="A59" s="19"/>
      <c r="B59" s="43" t="s">
        <v>466</v>
      </c>
      <c r="C59" s="56">
        <f>VLOOKUP(A3,Data!A1:AQ88,26,FALSE)</f>
        <v>0.21540000000000001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7.7700000000000005E-2</v>
      </c>
      <c r="E66" s="23"/>
      <c r="F66" s="23"/>
      <c r="G66" s="23"/>
      <c r="H66" s="23"/>
      <c r="I66" s="23"/>
      <c r="J66" s="23"/>
    </row>
    <row r="67" spans="1:10" ht="11.25" customHeight="1" x14ac:dyDescent="0.2">
      <c r="A67" s="19"/>
      <c r="B67" s="43" t="s">
        <v>466</v>
      </c>
      <c r="C67" s="56">
        <f>VLOOKUP(A3,Data!A1:AQ88,29,FALSE)</f>
        <v>7.8299999999999995E-2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1</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but improved since last year</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0.56059999999999999</v>
      </c>
      <c r="E74" s="23"/>
      <c r="F74" s="23"/>
      <c r="G74" s="23"/>
      <c r="H74" s="23"/>
      <c r="I74" s="23"/>
      <c r="J74" s="23"/>
    </row>
    <row r="75" spans="1:10" ht="11.25" customHeight="1" x14ac:dyDescent="0.2">
      <c r="A75" s="19"/>
      <c r="B75" s="43" t="s">
        <v>466</v>
      </c>
      <c r="C75" s="56">
        <f>VLOOKUP(A3,Data!A1:AQ88,32,FALSE)</f>
        <v>0.57689999999999997</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7.5999999999999998E-2</v>
      </c>
      <c r="E90" s="23"/>
      <c r="F90" s="23"/>
      <c r="G90" s="23"/>
      <c r="H90" s="23"/>
      <c r="I90" s="23"/>
      <c r="J90" s="23"/>
    </row>
    <row r="91" spans="1:10" ht="11.25" customHeight="1" x14ac:dyDescent="0.2">
      <c r="A91" s="19"/>
      <c r="B91" s="43" t="s">
        <v>466</v>
      </c>
      <c r="C91" s="56">
        <f>VLOOKUP(A3,Data!A1:AQ88,38,FALSE)</f>
        <v>0.16900000000000001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0.25900000000000001</v>
      </c>
      <c r="E98" s="23"/>
      <c r="F98" s="23"/>
      <c r="G98" s="23"/>
      <c r="H98" s="23"/>
      <c r="I98" s="23"/>
      <c r="J98" s="23"/>
    </row>
    <row r="99" spans="1:10" ht="11.25" customHeight="1" x14ac:dyDescent="0.2">
      <c r="A99" s="19"/>
      <c r="B99" s="43" t="s">
        <v>466</v>
      </c>
      <c r="C99" s="56">
        <f>VLOOKUP(A3,Data!A1:AQ88,41,FALSE)</f>
        <v>0.45500000000000002</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11</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11</v>
      </c>
      <c r="C104" s="63">
        <f>VLOOKUP(A3,Data!A1:AQ88,42,FALSE)</f>
        <v>1</v>
      </c>
      <c r="D104" s="99">
        <f>SUM(A104:C104)</f>
        <v>28</v>
      </c>
      <c r="E104" s="63">
        <f>VLOOKUP(A3,Data!A1:AQ88,43,FALSE)</f>
        <v>40</v>
      </c>
      <c r="F104" s="33">
        <f>D104/E104</f>
        <v>0.7</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ZjOpalJc1piBZAIpNKHs1t+Yv6Sg1DMLYugchg5/FL14YfJIIX1eDo+o/1ctve1P8YmaWJCKbECfKEzNkYZ9zQ==" saltValue="39uMTyED1gPz8VBLd3049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2023-09-06T13:28:09Z</dcterms:modified>
</cp:coreProperties>
</file>