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18A74F09-6D90-40BC-9C9B-CC3F1DF0AF6F}" xr6:coauthVersionLast="47" xr6:coauthVersionMax="47" xr10:uidLastSave="{00000000-0000-0000-0000-000000000000}"/>
  <workbookProtection workbookAlgorithmName="SHA-512" workbookHashValue="+sa/opcb7SvCqpoKayN/yw/upK08xxWMxytUUpX9g70XhykaJgG0HK1kROjlqT3AhpEnsn+tM+QCPLIHvneUvw==" workbookSaltValue="LgGvftKtnGxjYRmA3m0fpg=="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<sst xmlns="http://schemas.openxmlformats.org/spreadsheetml/2006/main" count="2581" uniqueCount="605">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</sst>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0.625</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0.52629999999999999</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0.52629999999999999</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0.73680000000000001</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0.93023255813953498</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0.66669999999999996</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0.94871794871794901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0.97674418604651203</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0.94827586206896597</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9.7560975609756101E-2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2.5641025641025599E-2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0.45454545454545497</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4.8780487804878099E-2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0.17647058823529399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1</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0.75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0.75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1</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1</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0.25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0.300448974639</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0.244850777637663</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0.34650166587339398</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0.14524936294139101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9.3117408906882596E-2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0.24434389140271501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0.68840000000000001</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0.1014</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0.16669999999999999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0.33329999999999999</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0.33329999999999999</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0.9667</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3.3300000000000003E-2</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7.1999999999999998E-3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4.7600000000000003E-2</c:v>
                </c:pt>
                <c:pt idx="3">
                  <c:v>0.15909999999999999</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3.3300000000000003E-2</c:v>
                </c:pt>
                <c:pt idx="3">
                  <c:v>0.46150000000000002</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9.5200000000000007E-2</c:v>
                </c:pt>
                <c:pt idx="3">
                  <c:v>0.11360000000000001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0.72240000000000004</c:v>
                </c:pt>
                <c:pt idx="3">
                  <c:v>0.68840000000000001</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5.8700000000000002E-2</c:v>
                </c:pt>
                <c:pt idx="3">
                  <c:v>0.19400000000000001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0.06</c:v>
                </c:pt>
                <c:pt idx="3">
                  <c:v>0.20399999999999999</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1.6899999999999998E-2</c:v>
                </c:pt>
                <c:pt idx="3">
                  <c:v>2.5000000000000001E-2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c:v>
                </c:pt>
                <c:pt idx="3">
                  <c:v>2.3800000000000002E-2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55</v>
      </c>
      <c r="B3" s="36"/>
      <c r="C3" s="36"/>
      <c r="D3" s="36"/>
      <c r="E3" s="36"/>
      <c r="F3" s="36"/>
      <c r="G3" s="36"/>
      <c r="H3" s="36"/>
      <c r="I3" s="36"/>
      <c r="J3" s="36"/>
      <c r="K3" s="36"/>
      <c r="L3" s="36"/>
      <c r="M3" s="36"/>
      <c r="N3" s="36"/>
      <c r="O3" s="10"/>
    </row>
    <row r="4" spans="1:20" s="9" customFormat="1" ht="11.25" x14ac:dyDescent="0.2">
      <c r="A4" s="9" t="str">
        <f>+VLOOKUP(A3,'Old Data'!A1:CM88,2,FALSE)</f>
        <v>209 Graham Road</v>
      </c>
      <c r="C4" s="12"/>
      <c r="E4" s="12"/>
      <c r="F4" s="12"/>
    </row>
    <row r="5" spans="1:20" s="9" customFormat="1" ht="11.25" x14ac:dyDescent="0.2">
      <c r="A5" s="9" t="str">
        <f>+VLOOKUP(A3,'Old Data'!A1:CM88,3,FALSE)</f>
        <v>Florence</v>
      </c>
      <c r="C5" s="12"/>
      <c r="E5" s="12"/>
      <c r="F5" s="12"/>
      <c r="G5" s="12" t="str">
        <f>+VLOOKUP(A3,'Old Data'!A1:CM88,4,FALSE)</f>
        <v>SC</v>
      </c>
      <c r="H5" s="12"/>
      <c r="I5" s="12">
        <f>+VLOOKUP(A3,'Old Data'!A1:CM88,5,FALSE)</f>
        <v>29560</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3.3300000000000003E-2</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0.9667</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0.93023255813953498</v>
      </c>
      <c r="H22" s="66" t="s">
        <v>1</v>
      </c>
      <c r="I22" s="11" t="str">
        <f>IF(OR(G22="NA",G22="**"),"NA",IF(G22&lt;C22,"Not Met","Met"))</f>
        <v>Not 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0.94871794871794901</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0.97674418604651203</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0.94827586206896597</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9.7560975609756101E-2</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2.5641025641025599E-2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0.45454545454545497</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4.8780487804878099E-2</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0.17647058823529399</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1</v>
      </c>
      <c r="H55" s="66" t="s">
        <v>1</v>
      </c>
      <c r="I55" s="11" t="str">
        <f>IF(OR(G55="NA",G55="**"),"NA",IF(G55&lt;C55,"Not Met","Met"))</f>
        <v>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0.75</v>
      </c>
      <c r="H61" s="66" t="s">
        <v>1</v>
      </c>
      <c r="I61" s="11" t="str">
        <f>IF(OR(G61="NA",G61="**"),"NA",IF(G61&lt;C61,"Not Met","Met"))</f>
        <v>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1</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1</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0.25</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0.300448974639</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0.244850777637663</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0.34650166587339398</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0.14524936294139101</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9.3117408906882596E-2</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0.24434389140271501</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0.68840000000000001</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0.1014</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7.1999999999999998E-3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0.625</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t="str">
        <f>VLOOKUP(A3,'Old Data'!A1:CM88,67,FALSE)</f>
        <v>NA</v>
      </c>
      <c r="H112" s="66" t="s">
        <v>1</v>
      </c>
      <c r="I112" s="11" t="str">
        <f t="shared" ref="I112:I180" si="3">IF(OR(G112="NA",G112="**"),"NA",IF(G112&lt;C112,"Not Met","Met"))</f>
        <v>NA</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0.66669999999999996</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0.75</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t="str">
        <f>VLOOKUP(A3,'Old Data'!A1:CM88,70,FALSE)</f>
        <v>NA</v>
      </c>
      <c r="H121" s="66" t="s">
        <v>1</v>
      </c>
      <c r="I121" s="11" t="str">
        <f>IF(OR(G121="NA",G121="**"),"NA",IF(G121&gt;C121,"Not Met","Met"))</f>
        <v>NA</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1</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0.52629999999999999</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1</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0.52629999999999999</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1</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0.73680000000000001</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0.16669999999999999</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0.33329999999999999</v>
      </c>
      <c r="H193" s="66" t="s">
        <v>1</v>
      </c>
      <c r="I193" s="11" t="str">
        <f>IF(OR(G193="NA",G193="**"),"NA",IF(G193&lt;C193,"Not Met","Met"))</f>
        <v>Not 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0.33329999999999999</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5F8ujkHsqi5/aamWOdlM0kx5S2PkUjQb6dLNhfpWKU0YgF7bdRjUDR+BmqJDrVpzK/nvqVpBP9LnxMHH0/YxAA==" saltValue="Ck96LGXPaEg1v4YlJFK2Cg=="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55</v>
      </c>
      <c r="B3" s="36"/>
      <c r="C3" s="36"/>
      <c r="D3" s="36"/>
      <c r="E3" s="36"/>
      <c r="F3" s="36"/>
      <c r="G3" s="36"/>
      <c r="H3" s="10"/>
      <c r="I3" s="10"/>
      <c r="J3" s="10"/>
    </row>
    <row r="4" spans="1:10" x14ac:dyDescent="0.2">
      <c r="A4" s="9" t="str">
        <f>VLOOKUP(A3,Data!A1:AQ88,2,FALSE)</f>
        <v>209 Graham Road</v>
      </c>
    </row>
    <row r="5" spans="1:10" x14ac:dyDescent="0.2">
      <c r="A5" s="9" t="str">
        <f>VLOOKUP(A3,Data!A1:AQ88,3,FALSE)</f>
        <v>Florence</v>
      </c>
      <c r="C5" s="12" t="str">
        <f>VLOOKUP(A3,Data!A1:AQ88,4,FALSE)</f>
        <v>SC</v>
      </c>
      <c r="D5" s="12">
        <f>VLOOKUP(A3,Data!A1:AQ88,5,FALSE)</f>
        <v>29560</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1</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but improved since last year</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3.3300000000000003E-2</v>
      </c>
      <c r="E34" s="23"/>
      <c r="F34" s="23"/>
      <c r="G34" s="23"/>
      <c r="H34" s="23"/>
      <c r="I34" s="23"/>
      <c r="J34" s="23"/>
    </row>
    <row r="35" spans="1:10" ht="11.25" customHeight="1" x14ac:dyDescent="0.2">
      <c r="A35" s="19"/>
      <c r="B35" s="43" t="s">
        <v>466</v>
      </c>
      <c r="C35" s="56">
        <f>VLOOKUP(A3,Data!A1:AQ88,17,FALSE)</f>
        <v>0.46150000000000002</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but improved since last year</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4.7600000000000003E-2</v>
      </c>
      <c r="E42" s="23"/>
      <c r="F42" s="23"/>
      <c r="G42" s="23"/>
      <c r="H42" s="23"/>
      <c r="I42" s="23"/>
      <c r="J42" s="23"/>
    </row>
    <row r="43" spans="1:10" ht="11.25" customHeight="1" x14ac:dyDescent="0.2">
      <c r="A43" s="19"/>
      <c r="B43" s="43" t="s">
        <v>466</v>
      </c>
      <c r="C43" s="56">
        <f>VLOOKUP(A3,Data!A1:AQ88,20,FALSE)</f>
        <v>0.15909999999999999</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0.5</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but improved since last year</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1.6899999999999998E-2</v>
      </c>
      <c r="E50" s="23"/>
      <c r="F50" s="23"/>
      <c r="G50" s="23"/>
      <c r="H50" s="23"/>
      <c r="I50" s="23"/>
      <c r="J50" s="23"/>
    </row>
    <row r="51" spans="1:10" ht="11.25" customHeight="1" x14ac:dyDescent="0.2">
      <c r="A51" s="19"/>
      <c r="B51" s="43" t="s">
        <v>466</v>
      </c>
      <c r="C51" s="56">
        <f>VLOOKUP(A3,Data!A1:AQ88,23,FALSE)</f>
        <v>2.5000000000000001E-2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but improved since last year</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9.5200000000000007E-2</v>
      </c>
      <c r="E58" s="23"/>
      <c r="F58" s="23"/>
      <c r="G58" s="23"/>
      <c r="H58" s="23"/>
      <c r="I58" s="23"/>
      <c r="J58" s="23"/>
    </row>
    <row r="59" spans="1:10" ht="11.25" customHeight="1" x14ac:dyDescent="0.2">
      <c r="A59" s="19"/>
      <c r="B59" s="43" t="s">
        <v>466</v>
      </c>
      <c r="C59" s="56">
        <f>VLOOKUP(A3,Data!A1:AQ88,26,FALSE)</f>
        <v>0.11360000000000001</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0.5</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but improved since last year</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v>
      </c>
      <c r="E66" s="23"/>
      <c r="F66" s="23"/>
      <c r="G66" s="23"/>
      <c r="H66" s="23"/>
      <c r="I66" s="23"/>
      <c r="J66" s="23"/>
    </row>
    <row r="67" spans="1:10" ht="11.25" customHeight="1" x14ac:dyDescent="0.2">
      <c r="A67" s="19"/>
      <c r="B67" s="43" t="s">
        <v>466</v>
      </c>
      <c r="C67" s="56">
        <f>VLOOKUP(A3,Data!A1:AQ88,29,FALSE)</f>
        <v>2.3800000000000002E-2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2</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prior year’s state performance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0.72240000000000004</v>
      </c>
      <c r="E74" s="23"/>
      <c r="F74" s="23"/>
      <c r="G74" s="23"/>
      <c r="H74" s="23"/>
      <c r="I74" s="23"/>
      <c r="J74" s="23"/>
    </row>
    <row r="75" spans="1:10" ht="11.25" customHeight="1" x14ac:dyDescent="0.2">
      <c r="A75" s="19"/>
      <c r="B75" s="43" t="s">
        <v>466</v>
      </c>
      <c r="C75" s="56">
        <f>VLOOKUP(A3,Data!A1:AQ88,32,FALSE)</f>
        <v>0.68840000000000001</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5.8700000000000002E-2</v>
      </c>
      <c r="E90" s="23"/>
      <c r="F90" s="23"/>
      <c r="G90" s="23"/>
      <c r="H90" s="23"/>
      <c r="I90" s="23"/>
      <c r="J90" s="23"/>
    </row>
    <row r="91" spans="1:10" ht="11.25" customHeight="1" x14ac:dyDescent="0.2">
      <c r="A91" s="19"/>
      <c r="B91" s="43" t="s">
        <v>466</v>
      </c>
      <c r="C91" s="56">
        <f>VLOOKUP(A3,Data!A1:AQ88,38,FALSE)</f>
        <v>0.19400000000000001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0.06</v>
      </c>
      <c r="E98" s="23"/>
      <c r="F98" s="23"/>
      <c r="G98" s="23"/>
      <c r="H98" s="23"/>
      <c r="I98" s="23"/>
      <c r="J98" s="23"/>
    </row>
    <row r="99" spans="1:10" ht="11.25" customHeight="1" x14ac:dyDescent="0.2">
      <c r="A99" s="19"/>
      <c r="B99" s="43" t="s">
        <v>466</v>
      </c>
      <c r="C99" s="56">
        <f>VLOOKUP(A3,Data!A1:AQ88,41,FALSE)</f>
        <v>0.20399999999999999</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9</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9</v>
      </c>
      <c r="C104" s="63">
        <f>VLOOKUP(A3,Data!A1:AQ88,42,FALSE)</f>
        <v>1</v>
      </c>
      <c r="D104" s="99">
        <f>SUM(A104:C104)</f>
        <v>28</v>
      </c>
      <c r="E104" s="63">
        <f>VLOOKUP(A3,Data!A1:AQ88,43,FALSE)</f>
        <v>40</v>
      </c>
      <c r="F104" s="33">
        <f>D104/E104</f>
        <v>0.7</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4Ox2EwUuNGrh0NEQJs2MNJIWrTmfrttAh1lGrNWWIUa1Qi8eSnJaSugJTmWenbjYGkKyiRil+oI9Ly+KdVX+BQ==" saltValue="MixTt0fa5WJgPzXwBJZXhg=="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2023-09-06T13:28:16Z</dcterms:modified>
</cp:coreProperties>
</file>