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D33A6B3F-002C-4CF1-AB32-214A5F185593}" xr6:coauthVersionLast="47" xr6:coauthVersionMax="47" xr10:uidLastSave="{00000000-0000-0000-0000-000000000000}"/>
  <workbookProtection workbookAlgorithmName="SHA-512" workbookHashValue="682kY92uMrd0ogY7M79thSX05cXYH7v2Gh6c6mbo+3IUpFwVOXC+BudZ6WGI87jzMEGloaePeWnqVpcDH8SGGw==" workbookSaltValue="Aii284EsHkHhdnKy2XogDA=="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<sst xmlns="http://schemas.openxmlformats.org/spreadsheetml/2006/main" count="2581" uniqueCount="605">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</sst>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0.5</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0.75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0.75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0.25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0.875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0.77777777777777801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0.25</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6.6666666666666693E-2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0.33333333333333298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0.25</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0.214285714285714</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1</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0.8</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1</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-3.0487804878048801E-2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0.206060606060606</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0.38596491228070201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-3.0487804878048801E-2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0.204545454545455</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5.2380952380952403E-2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0.66669999999999996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0.16669999999999999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0.66669999999999996</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0.66669999999999996</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0.3846</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0.23080000000000001</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1.04E-2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c:v>
                </c:pt>
                <c:pt idx="3">
                  <c:v>0.4</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0.23080000000000001</c:v>
                </c:pt>
                <c:pt idx="3">
                  <c:v>0.63639999999999997</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c:v>
                </c:pt>
                <c:pt idx="3">
                  <c:v>0.4</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0.56599999999999995</c:v>
                </c:pt>
                <c:pt idx="3">
                  <c:v>0.66669999999999996</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c:v>
                </c:pt>
                <c:pt idx="3">
                  <c:v>0.26169999999999999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c:v>
                </c:pt>
                <c:pt idx="3">
                  <c:v>0</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9.0899999999999995E-2</c:v>
                </c:pt>
                <c:pt idx="3">
                  <c:v>6.6699999999999995E-2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c:v>
                </c:pt>
                <c:pt idx="3">
                  <c:v>0</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56</v>
      </c>
      <c r="B3" s="36"/>
      <c r="C3" s="36"/>
      <c r="D3" s="36"/>
      <c r="E3" s="36"/>
      <c r="F3" s="36"/>
      <c r="G3" s="36"/>
      <c r="H3" s="36"/>
      <c r="I3" s="36"/>
      <c r="J3" s="36"/>
      <c r="K3" s="36"/>
      <c r="L3" s="36"/>
      <c r="M3" s="36"/>
      <c r="N3" s="36"/>
      <c r="O3" s="10"/>
    </row>
    <row r="4" spans="1:20" s="9" customFormat="1" ht="11.25" x14ac:dyDescent="0.2">
      <c r="A4" s="9" t="str">
        <f>+VLOOKUP(A3,'Old Data'!A1:CM88,2,FALSE)</f>
        <v>304 Kemper Street</v>
      </c>
      <c r="C4" s="12"/>
      <c r="E4" s="12"/>
      <c r="F4" s="12"/>
    </row>
    <row r="5" spans="1:20" s="9" customFormat="1" ht="11.25" x14ac:dyDescent="0.2">
      <c r="A5" s="9" t="str">
        <f>+VLOOKUP(A3,'Old Data'!A1:CM88,3,FALSE)</f>
        <v>Timmonsville</v>
      </c>
      <c r="C5" s="12"/>
      <c r="E5" s="12"/>
      <c r="F5" s="12"/>
      <c r="G5" s="12" t="str">
        <f>+VLOOKUP(A3,'Old Data'!A1:CM88,4,FALSE)</f>
        <v>SC</v>
      </c>
      <c r="H5" s="12"/>
      <c r="I5" s="12">
        <f>+VLOOKUP(A3,'Old Data'!A1:CM88,5,FALSE)</f>
        <v>29161</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0.23080000000000001</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0.3846</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1</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0.77777777777777801</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0.25</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6.6666666666666693E-2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0.33333333333333298</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0.25</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0.214285714285714</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1</v>
      </c>
      <c r="H55" s="66" t="s">
        <v>1</v>
      </c>
      <c r="I55" s="11" t="str">
        <f>IF(OR(G55="NA",G55="**"),"NA",IF(G55&lt;C55,"Not Met","Met"))</f>
        <v>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t="str">
        <f>VLOOKUP(A3,'Old Data'!A1:CM88,50,FALSE)</f>
        <v>NA</v>
      </c>
      <c r="H58" s="66" t="s">
        <v>1</v>
      </c>
      <c r="I58" s="11" t="str">
        <f>IF(OR(G58="NA",G58="**"),"NA",IF(G58&lt;C58,"Not Met","Met"))</f>
        <v>NA</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1</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t="str">
        <f>VLOOKUP(A3,'Old Data'!A1:CM88,53,FALSE)</f>
        <v>NA</v>
      </c>
      <c r="H67" s="66" t="s">
        <v>1</v>
      </c>
      <c r="I67" s="11" t="str">
        <f>IF(OR(G67="NA",G67="**"),"NA",IF(G67&lt;C67,"Not Met","Met"))</f>
        <v>NA</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t="str">
        <f>VLOOKUP(A3,'Old Data'!A1:CM88,54,FALSE)</f>
        <v>NA</v>
      </c>
      <c r="H70" s="66" t="s">
        <v>1</v>
      </c>
      <c r="I70" s="11" t="str">
        <f>IF(OR(G70="NA",G70="**"),"NA",IF(G70&lt;C70,"Not Met","Met"))</f>
        <v>NA</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-3.0487804878048801E-2</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0.206060606060606</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0.38596491228070201</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-3.0487804878048801E-2</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0.204545454545455</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5.2380952380952403E-2</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0.66669999999999996</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0.16669999999999999</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1.04E-2</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0.5</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0.25</v>
      </c>
      <c r="H112" s="66" t="s">
        <v>1</v>
      </c>
      <c r="I112" s="11" t="str">
        <f t="shared" ref="I112:I180" si="3">IF(OR(G112="NA",G112="**"),"NA",IF(G112&lt;C112,"Not Met","Met"))</f>
        <v>Not 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1</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0.8</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1</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0.75</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1</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0.75</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0.875</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v>
      </c>
      <c r="H189" s="66" t="s">
        <v>1</v>
      </c>
      <c r="I189" s="11" t="str">
        <f t="shared" ref="I189" si="6">IF(OR(G189="NA",G189="**"),"NA",IF(G189&lt;C189,"Not Met","Met"))</f>
        <v>Not 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0.66669999999999996</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0.66669999999999996</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6AALejZI59ouVt5g3HcrfvkTSQt8pl6u1GcMQJJpUBSbprGLXEnD0a34YAEcYAJDvftYy6fB1A5cMWzPm1vD7A==" saltValue="gfdgt9MQFr4gRXP/NOFB1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56</v>
      </c>
      <c r="B3" s="36"/>
      <c r="C3" s="36"/>
      <c r="D3" s="36"/>
      <c r="E3" s="36"/>
      <c r="F3" s="36"/>
      <c r="G3" s="36"/>
      <c r="H3" s="10"/>
      <c r="I3" s="10"/>
      <c r="J3" s="10"/>
    </row>
    <row r="4" spans="1:10" x14ac:dyDescent="0.2">
      <c r="A4" s="9" t="str">
        <f>VLOOKUP(A3,Data!A1:AQ88,2,FALSE)</f>
        <v>304 Kemper Street</v>
      </c>
    </row>
    <row r="5" spans="1:10" x14ac:dyDescent="0.2">
      <c r="A5" s="9" t="str">
        <f>VLOOKUP(A3,Data!A1:AQ88,3,FALSE)</f>
        <v>Timmonsville</v>
      </c>
      <c r="C5" s="12" t="str">
        <f>VLOOKUP(A3,Data!A1:AQ88,4,FALSE)</f>
        <v>SC</v>
      </c>
      <c r="D5" s="12">
        <f>VLOOKUP(A3,Data!A1:AQ88,5,FALSE)</f>
        <v>29161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0.23080000000000001</v>
      </c>
      <c r="E34" s="23"/>
      <c r="F34" s="23"/>
      <c r="G34" s="23"/>
      <c r="H34" s="23"/>
      <c r="I34" s="23"/>
      <c r="J34" s="23"/>
    </row>
    <row r="35" spans="1:10" ht="11.25" customHeight="1" x14ac:dyDescent="0.2">
      <c r="A35" s="19"/>
      <c r="B35" s="43" t="s">
        <v>466</v>
      </c>
      <c r="C35" s="56">
        <f>VLOOKUP(A3,Data!A1:AQ88,17,FALSE)</f>
        <v>0.63639999999999997</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current state target</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v>
      </c>
      <c r="E42" s="23"/>
      <c r="F42" s="23"/>
      <c r="G42" s="23"/>
      <c r="H42" s="23"/>
      <c r="I42" s="23"/>
      <c r="J42" s="23"/>
    </row>
    <row r="43" spans="1:10" ht="11.25" customHeight="1" x14ac:dyDescent="0.2">
      <c r="A43" s="19"/>
      <c r="B43" s="43" t="s">
        <v>466</v>
      </c>
      <c r="C43" s="56">
        <f>VLOOKUP(A3,Data!A1:AQ88,20,FALSE)</f>
        <v>0.4</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9.0899999999999995E-2</v>
      </c>
      <c r="E50" s="23"/>
      <c r="F50" s="23"/>
      <c r="G50" s="23"/>
      <c r="H50" s="23"/>
      <c r="I50" s="23"/>
      <c r="J50" s="23"/>
    </row>
    <row r="51" spans="1:10" ht="11.25" customHeight="1" x14ac:dyDescent="0.2">
      <c r="A51" s="19"/>
      <c r="B51" s="43" t="s">
        <v>466</v>
      </c>
      <c r="C51" s="56">
        <f>VLOOKUP(A3,Data!A1:AQ88,23,FALSE)</f>
        <v>6.6699999999999995E-2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v>
      </c>
      <c r="E58" s="23"/>
      <c r="F58" s="23"/>
      <c r="G58" s="23"/>
      <c r="H58" s="23"/>
      <c r="I58" s="23"/>
      <c r="J58" s="23"/>
    </row>
    <row r="59" spans="1:10" ht="11.25" customHeight="1" x14ac:dyDescent="0.2">
      <c r="A59" s="19"/>
      <c r="B59" s="43" t="s">
        <v>466</v>
      </c>
      <c r="C59" s="56">
        <f>VLOOKUP(A3,Data!A1:AQ88,26,FALSE)</f>
        <v>0.4</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v>
      </c>
      <c r="E66" s="23"/>
      <c r="F66" s="23"/>
      <c r="G66" s="23"/>
      <c r="H66" s="23"/>
      <c r="I66" s="23"/>
      <c r="J66" s="23"/>
    </row>
    <row r="67" spans="1:10" ht="11.25" customHeight="1" x14ac:dyDescent="0.2">
      <c r="A67" s="19"/>
      <c r="B67" s="43" t="s">
        <v>466</v>
      </c>
      <c r="C67" s="56">
        <f>VLOOKUP(A3,Data!A1:AQ88,29,FALSE)</f>
        <v>0</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2</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prior year’s state performance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0.56599999999999995</v>
      </c>
      <c r="E74" s="23"/>
      <c r="F74" s="23"/>
      <c r="G74" s="23"/>
      <c r="H74" s="23"/>
      <c r="I74" s="23"/>
      <c r="J74" s="23"/>
    </row>
    <row r="75" spans="1:10" ht="11.25" customHeight="1" x14ac:dyDescent="0.2">
      <c r="A75" s="19"/>
      <c r="B75" s="43" t="s">
        <v>466</v>
      </c>
      <c r="C75" s="56">
        <f>VLOOKUP(A3,Data!A1:AQ88,32,FALSE)</f>
        <v>0.66669999999999996</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v>
      </c>
      <c r="E90" s="23"/>
      <c r="F90" s="23"/>
      <c r="G90" s="23"/>
      <c r="H90" s="23"/>
      <c r="I90" s="23"/>
      <c r="J90" s="23"/>
    </row>
    <row r="91" spans="1:10" ht="11.25" customHeight="1" x14ac:dyDescent="0.2">
      <c r="A91" s="19"/>
      <c r="B91" s="43" t="s">
        <v>466</v>
      </c>
      <c r="C91" s="56">
        <f>VLOOKUP(A3,Data!A1:AQ88,38,FALSE)</f>
        <v>0.26169999999999999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0</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and did not improve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v>
      </c>
      <c r="E98" s="23"/>
      <c r="F98" s="23"/>
      <c r="G98" s="23"/>
      <c r="H98" s="23"/>
      <c r="I98" s="23"/>
      <c r="J98" s="23"/>
    </row>
    <row r="99" spans="1:10" ht="11.25" customHeight="1" x14ac:dyDescent="0.2">
      <c r="A99" s="19"/>
      <c r="B99" s="43" t="s">
        <v>466</v>
      </c>
      <c r="C99" s="56">
        <f>VLOOKUP(A3,Data!A1:AQ88,41,FALSE)</f>
        <v>0</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10</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10</v>
      </c>
      <c r="C104" s="63">
        <f>VLOOKUP(A3,Data!A1:AQ88,42,FALSE)</f>
        <v>1</v>
      </c>
      <c r="D104" s="99">
        <f>SUM(A104:C104)</f>
        <v>29</v>
      </c>
      <c r="E104" s="63">
        <f>VLOOKUP(A3,Data!A1:AQ88,43,FALSE)</f>
        <v>40</v>
      </c>
      <c r="F104" s="33">
        <f>D104/E104</f>
        <v>0.72499999999999998</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j9ymsHXLnSmPOGPhbZgOBDgiqR7SQ3LMmiRfk8Of4n6qivdWqdv0A5a+NlOq93tX0n9PnficezDlDy5qLdffmQ==" saltValue="q0yTXWT7PILqGVqxwjb0j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2023-09-06T13:28:18Z</dcterms:modified>
</cp:coreProperties>
</file>