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9AFA692E-D0C9-4350-890B-0984D1C29FFF}" xr6:coauthVersionLast="47" xr6:coauthVersionMax="47" xr10:uidLastSave="{00000000-0000-0000-0000-000000000000}"/>
  <workbookProtection workbookAlgorithmName="SHA-512" workbookHashValue="bUKZJ6HG4bqQsUi36NgMHUKQAqo+ih9hESib/TRGLiGDNOKBe0h+tVtzPy3AEBbF2sB/rCReZ3IH2LomuLzPKg==" workbookSaltValue="w/kdvSa/487N7SNQ0+0x+g=="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<sst xmlns="http://schemas.openxmlformats.org/spreadsheetml/2006/main" count="2581" uniqueCount="605">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</sst>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1.52E-2</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0.49930000000000002</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0.7167</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0.57750000000000001</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0.77590000000000003</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0.54310000000000003</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0.63519999999999999</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0.9899</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0.98670465337131996</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0.95865384615384597</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0.30609999999999998</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0.92606060606060603</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0.95773294908741602</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0.90715667311411996</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0.23283582089552199</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9.8516949152542402E-2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0.54520166898470102</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0.261171797418074</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6.88559322033898E-2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0.389261744966443</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0.38235294117647101</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0.23719999999999999</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0.35849056603773599</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0.28888888888888897</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0.34285714285714303</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0.30188679245283001</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0.27272727272727298</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0.377143460872433</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0.41322989438269803</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0.32405120457851699</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0.30865385423046798</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0.31192925771043101</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0.438</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0.28782988849969199</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0.68440000000000001</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0.15690000000000001</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0.99860000000000004</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0.2727</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0.76519999999999999</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0.81059999999999999</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0.27600000000000002</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0.55189999999999995</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1.46E-2</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2.1299999999999999E-2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0.98861480075901298</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0.25269999999999998</c:v>
                </c:pt>
                <c:pt idx="3">
                  <c:v>0.23769999999999999</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0.55189999999999995</c:v>
                </c:pt>
                <c:pt idx="3">
                  <c:v>0.59889999999999999</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0.26269999999999999</c:v>
                </c:pt>
                <c:pt idx="3">
                  <c:v>0.26390000000000002</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0.69869999999999999</c:v>
                </c:pt>
                <c:pt idx="3">
                  <c:v>0.68440000000000001</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6.9500000000000006E-2</c:v>
                </c:pt>
                <c:pt idx="3">
                  <c:v>0.1605</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0.24</c:v>
                </c:pt>
                <c:pt idx="3">
                  <c:v>0.42699999999999999</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0.1196</c:v>
                </c:pt>
                <c:pt idx="3">
                  <c:v>0.1123</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7.5999999999999998E-2</c:v>
                </c:pt>
                <c:pt idx="3">
                  <c:v>8.1199999999999994E-2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1.46E-2</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0.80349999999999999</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59</v>
      </c>
      <c r="B3" s="36"/>
      <c r="C3" s="36"/>
      <c r="D3" s="36"/>
      <c r="E3" s="36"/>
      <c r="F3" s="36"/>
      <c r="G3" s="36"/>
      <c r="H3" s="36"/>
      <c r="I3" s="36"/>
      <c r="J3" s="36"/>
      <c r="K3" s="36"/>
      <c r="L3" s="36"/>
      <c r="M3" s="36"/>
      <c r="N3" s="36"/>
      <c r="O3" s="10"/>
    </row>
    <row r="4" spans="1:20" s="9" customFormat="1" ht="11.25" x14ac:dyDescent="0.2">
      <c r="A4" s="9" t="str">
        <f>+VLOOKUP(A3,'Old Data'!A1:CM88,2,FALSE)</f>
        <v>301 East Camperdown Way</v>
      </c>
      <c r="C4" s="12"/>
      <c r="E4" s="12"/>
      <c r="F4" s="12"/>
    </row>
    <row r="5" spans="1:20" s="9" customFormat="1" ht="11.25" x14ac:dyDescent="0.2">
      <c r="A5" s="9" t="str">
        <f>+VLOOKUP(A3,'Old Data'!A1:CM88,3,FALSE)</f>
        <v>Greenville</v>
      </c>
      <c r="C5" s="12"/>
      <c r="E5" s="12"/>
      <c r="F5" s="12"/>
      <c r="G5" s="12" t="str">
        <f>+VLOOKUP(A3,'Old Data'!A1:CM88,4,FALSE)</f>
        <v>SC</v>
      </c>
      <c r="H5" s="12"/>
      <c r="I5" s="12">
        <f>+VLOOKUP(A3,'Old Data'!A1:CM88,5,FALSE)</f>
        <v>29601</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0.55189999999999995</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0.27600000000000002</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0.98670465337131996</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0.95865384615384597</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0.92606060606060603</v>
      </c>
      <c r="H25" s="66" t="s">
        <v>1</v>
      </c>
      <c r="I25" s="11" t="str">
        <f>IF(OR(G25="NA",G25="**"),"NA",IF(G25&lt;C25,"Not Met","Met"))</f>
        <v>Not 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0.98861480075901298</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0.95773294908741602</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0.90715667311411996</v>
      </c>
      <c r="H34" s="66" t="s">
        <v>1</v>
      </c>
      <c r="I34" s="11" t="str">
        <f>IF(OR(G34="NA",G34="**"),"NA",IF(G34&lt;C34,"Not Met","Met"))</f>
        <v>Not 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0.23283582089552199</v>
      </c>
      <c r="H37" s="66" t="s">
        <v>1</v>
      </c>
      <c r="I37" s="11" t="str">
        <f>IF(OR(G37="NA",G37="**"),"NA",IF(G37&lt;C37,"Not Met","Met"))</f>
        <v>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9.8516949152542402E-2</v>
      </c>
      <c r="H40" s="66" t="s">
        <v>1</v>
      </c>
      <c r="I40" s="11" t="str">
        <f>IF(OR(G40="NA",G40="**"),"NA",IF(G40&lt;C40,"Not Met","Met"))</f>
        <v>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0.54520166898470102</v>
      </c>
      <c r="H43" s="66" t="s">
        <v>1</v>
      </c>
      <c r="I43" s="11" t="str">
        <f>IF(OR(G43="NA",G43="**"),"NA",IF(G43&lt;C43,"Not Met","Met"))</f>
        <v>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0.261171797418074</v>
      </c>
      <c r="H46" s="66" t="s">
        <v>1</v>
      </c>
      <c r="I46" s="11" t="str">
        <f>IF(OR(G46="NA",G46="**"),"NA",IF(G46&lt;C46,"Not Met","Met"))</f>
        <v>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6.88559322033898E-2</v>
      </c>
      <c r="H49" s="66" t="s">
        <v>1</v>
      </c>
      <c r="I49" s="11" t="str">
        <f>IF(OR(G49="NA",G49="**"),"NA",IF(G49&lt;C49,"Not Met","Met"))</f>
        <v>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0.389261744966443</v>
      </c>
      <c r="H52" s="66" t="s">
        <v>1</v>
      </c>
      <c r="I52" s="11" t="str">
        <f>IF(OR(G52="NA",G52="**"),"NA",IF(G52&lt;C52,"Not Met","Met"))</f>
        <v>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0.38235294117647101</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0.35849056603773599</v>
      </c>
      <c r="H58" s="66" t="s">
        <v>1</v>
      </c>
      <c r="I58" s="11" t="str">
        <f>IF(OR(G58="NA",G58="**"),"NA",IF(G58&lt;C58,"Not Met","Met"))</f>
        <v>Not 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0.28888888888888897</v>
      </c>
      <c r="H61" s="66" t="s">
        <v>1</v>
      </c>
      <c r="I61" s="11" t="str">
        <f>IF(OR(G61="NA",G61="**"),"NA",IF(G61&lt;C61,"Not Met","Met"))</f>
        <v>Not 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0.34285714285714303</v>
      </c>
      <c r="H64" s="66" t="s">
        <v>1</v>
      </c>
      <c r="I64" s="11" t="str">
        <f>IF(OR(G64="NA",G64="**"),"NA",IF(G64&lt;C64,"Not Met","Met"))</f>
        <v>Not 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0.30188679245283001</v>
      </c>
      <c r="H67" s="66" t="s">
        <v>1</v>
      </c>
      <c r="I67" s="11" t="str">
        <f>IF(OR(G67="NA",G67="**"),"NA",IF(G67&lt;C67,"Not Met","Met"))</f>
        <v>Not 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0.27272727272727298</v>
      </c>
      <c r="H70" s="66" t="s">
        <v>1</v>
      </c>
      <c r="I70" s="11" t="str">
        <f>IF(OR(G70="NA",G70="**"),"NA",IF(G70&lt;C70,"Not Met","Met"))</f>
        <v>Not 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0.377143460872433</v>
      </c>
      <c r="H73" s="66" t="s">
        <v>1</v>
      </c>
      <c r="I73" s="11" t="str">
        <f>IF(OR(G73="NA",G73="**"),"NA",IF(G73&gt;C73,"Not Met","Met"))</f>
        <v>Not 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0.41322989438269803</v>
      </c>
      <c r="H76" s="66" t="s">
        <v>1</v>
      </c>
      <c r="I76" s="11" t="str">
        <f>IF(OR(G76="NA",G76="**"),"NA",IF(G76&gt;C76,"Not Met","Met"))</f>
        <v>Not 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0.32405120457851699</v>
      </c>
      <c r="H79" s="66" t="s">
        <v>1</v>
      </c>
      <c r="I79" s="11" t="str">
        <f>IF(OR(G79="NA",G79="**"),"NA",IF(G79&gt;C79,"Not Met","Met"))</f>
        <v>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0.30865385423046798</v>
      </c>
      <c r="H82" s="66" t="s">
        <v>1</v>
      </c>
      <c r="I82" s="11" t="str">
        <f>IF(OR(G82="NA",G82="**"),"NA",IF(G82&gt;C82,"Not Met","Met"))</f>
        <v>Not 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0.31192925771043101</v>
      </c>
      <c r="H85" s="66" t="s">
        <v>1</v>
      </c>
      <c r="I85" s="11" t="str">
        <f>IF(OR(G85="NA",G85="**"),"NA",IF(G85&gt;C85,"Not Met","Met"))</f>
        <v>Not 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0.28782988849969199</v>
      </c>
      <c r="H88" s="66" t="s">
        <v>1</v>
      </c>
      <c r="I88" s="11" t="str">
        <f>IF(OR(G88="NA",G88="**"),"NA",IF(G88&gt;C88,"Not Met","Met"))</f>
        <v>Not 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0.68440000000000001</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0.15690000000000001</v>
      </c>
      <c r="H102" s="66" t="s">
        <v>1</v>
      </c>
      <c r="I102" s="11" t="str">
        <f>IF(OR(G102="NA",G102="**"),"NA",IF(G102&gt;C102,"Not Met","Met"))</f>
        <v>Not 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2.1299999999999999E-2</v>
      </c>
      <c r="H105" s="66" t="s">
        <v>1</v>
      </c>
      <c r="I105" s="11" t="str">
        <f>IF(OR(G105="NA",G105="**"),"NA",IF(G105&gt;C105,"Not Met","Met"))</f>
        <v>Not 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1.52E-2</v>
      </c>
      <c r="H109" s="66" t="s">
        <v>1</v>
      </c>
      <c r="I109" s="11" t="str">
        <f>IF(OR(G109="NA",G109="**"),"NA",IF(G109&lt;C109,"Not Met","Met"))</f>
        <v>Not 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0.54310000000000003</v>
      </c>
      <c r="H112" s="66" t="s">
        <v>1</v>
      </c>
      <c r="I112" s="11" t="str">
        <f t="shared" ref="I112:I180" si="3">IF(OR(G112="NA",G112="**"),"NA",IF(G112&lt;C112,"Not Met","Met"))</f>
        <v>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0.30609999999999998</v>
      </c>
      <c r="H115" s="66" t="s">
        <v>1</v>
      </c>
      <c r="I115" s="11" t="str">
        <f t="shared" si="3"/>
        <v>Not 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0.23719999999999999</v>
      </c>
      <c r="H118" s="66" t="s">
        <v>1</v>
      </c>
      <c r="I118" s="11" t="str">
        <f>IF(OR(G118="NA",G118="**"),"NA",IF(G118&gt;C118,"Not Met","Met"))</f>
        <v>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0.438</v>
      </c>
      <c r="H121" s="66" t="s">
        <v>1</v>
      </c>
      <c r="I121" s="11" t="str">
        <f>IF(OR(G121="NA",G121="**"),"NA",IF(G121&gt;C121,"Not Met","Met"))</f>
        <v>Not 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1.46E-2</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f>VLOOKUP(A3,'Old Data'!A1:CM88,72,FALSE)</f>
        <v>0</v>
      </c>
      <c r="H127" s="66" t="s">
        <v>1</v>
      </c>
      <c r="I127" s="11" t="str">
        <f>IF(OR(G127="NA",G127="**"),"NA",IF(G127&gt;C127,"Not Met","Met"))</f>
        <v>Met</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1.46E-2</v>
      </c>
      <c r="H130" s="66" t="s">
        <v>1</v>
      </c>
      <c r="I130" s="11" t="str">
        <f>IF(OR(G130="NA",G130="**"),"NA",IF(G130&gt;C130,"Not Met","Met"))</f>
        <v>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f>VLOOKUP(A3,'Old Data'!A1:CM88,74,FALSE)</f>
        <v>0</v>
      </c>
      <c r="H133" s="66" t="s">
        <v>1</v>
      </c>
      <c r="I133" s="11" t="str">
        <f>IF(OR(G133="NA",G133="**"),"NA",IF(G133&gt;C133,"Not Met","Met"))</f>
        <v>Met</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0.80349999999999999</v>
      </c>
      <c r="H138" s="66" t="s">
        <v>1</v>
      </c>
      <c r="I138" s="11" t="str">
        <f t="shared" si="3"/>
        <v>Not 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0.49930000000000002</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0.7167</v>
      </c>
      <c r="H146" s="66" t="s">
        <v>1</v>
      </c>
      <c r="I146" s="11" t="str">
        <f t="shared" si="3"/>
        <v>Not 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0.57750000000000001</v>
      </c>
      <c r="H150" s="66" t="s">
        <v>1</v>
      </c>
      <c r="I150" s="11" t="str">
        <f t="shared" si="3"/>
        <v>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0.77590000000000003</v>
      </c>
      <c r="H154" s="66" t="s">
        <v>1</v>
      </c>
      <c r="I154" s="11" t="str">
        <f t="shared" si="3"/>
        <v>Not 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0.63519999999999999</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0.9899</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0.99860000000000004</v>
      </c>
      <c r="H175" s="66" t="s">
        <v>1</v>
      </c>
      <c r="I175" s="11" t="str">
        <f>IF(OR(G175="NA",G175="**"),"NA",IF(G175&lt;C175,"Not Met","Met"))</f>
        <v>Not 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0.2727</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0.76519999999999999</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0.81059999999999999</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dDUrpbbaeY/KcjLYHg7qSYvZGjt1pnd6uCUWLBiXPxzdvLMdi9hGIaRUVIWaPoavCdLMjpl4LpAzP9Wn/0QV2Q==" saltValue="UmCNagsEgFsUCpw/GE80cQ=="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59</v>
      </c>
      <c r="B3" s="36"/>
      <c r="C3" s="36"/>
      <c r="D3" s="36"/>
      <c r="E3" s="36"/>
      <c r="F3" s="36"/>
      <c r="G3" s="36"/>
      <c r="H3" s="10"/>
      <c r="I3" s="10"/>
      <c r="J3" s="10"/>
    </row>
    <row r="4" spans="1:10" x14ac:dyDescent="0.2">
      <c r="A4" s="9" t="str">
        <f>VLOOKUP(A3,Data!A1:AQ88,2,FALSE)</f>
        <v>301 East Camperdown Way</v>
      </c>
    </row>
    <row r="5" spans="1:10" x14ac:dyDescent="0.2">
      <c r="A5" s="9" t="str">
        <f>VLOOKUP(A3,Data!A1:AQ88,3,FALSE)</f>
        <v>Greenville</v>
      </c>
      <c r="C5" s="12" t="str">
        <f>VLOOKUP(A3,Data!A1:AQ88,4,FALSE)</f>
        <v>SC</v>
      </c>
      <c r="D5" s="12">
        <f>VLOOKUP(A3,Data!A1:AQ88,5,FALSE)</f>
        <v>29601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1</v>
      </c>
      <c r="C18" s="92" t="str">
        <f>IF(B18=0,"2 or more consecutive years of findings of non-compliance (current year and previous year(s))",
IF(B18=1,"Findings of non-compliance in the current year",
IF(B18=2,"No findings of non-compliance","")))</f>
        <v>Findings of non-compliance in the current year</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17</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2</v>
      </c>
      <c r="C30" s="92" t="str">
        <f>IF(B30=0,"Does not meet prior year’s state performance and did not improve",
IF(B30=1,"Does not meet prior year’s state performance but improved since last year",
IF(B30=2,"Meets or exceeds prior year’s state performance",
IF(B30=3,"Meets or exceeds current state target",""))))</f>
        <v>Meets or exceeds prior year’s state performance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0.55189999999999995</v>
      </c>
      <c r="E34" s="23"/>
      <c r="F34" s="23"/>
      <c r="G34" s="23"/>
      <c r="H34" s="23"/>
      <c r="I34" s="23"/>
      <c r="J34" s="23"/>
    </row>
    <row r="35" spans="1:10" ht="11.25" customHeight="1" x14ac:dyDescent="0.2">
      <c r="A35" s="19"/>
      <c r="B35" s="43" t="s">
        <v>466</v>
      </c>
      <c r="C35" s="56">
        <f>VLOOKUP(A3,Data!A1:AQ88,17,FALSE)</f>
        <v>0.59889999999999999</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1</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Meets or exceeds prior year’s state performance</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0.25269999999999998</v>
      </c>
      <c r="E42" s="23"/>
      <c r="F42" s="23"/>
      <c r="G42" s="23"/>
      <c r="H42" s="23"/>
      <c r="I42" s="23"/>
      <c r="J42" s="23"/>
    </row>
    <row r="43" spans="1:10" ht="11.25" customHeight="1" x14ac:dyDescent="0.2">
      <c r="A43" s="19"/>
      <c r="B43" s="43" t="s">
        <v>466</v>
      </c>
      <c r="C43" s="56">
        <f>VLOOKUP(A3,Data!A1:AQ88,20,FALSE)</f>
        <v>0.23769999999999999</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1</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Meets or exceeds prior year’s state performance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0.1196</v>
      </c>
      <c r="E50" s="23"/>
      <c r="F50" s="23"/>
      <c r="G50" s="23"/>
      <c r="H50" s="23"/>
      <c r="I50" s="23"/>
      <c r="J50" s="23"/>
    </row>
    <row r="51" spans="1:10" ht="11.25" customHeight="1" x14ac:dyDescent="0.2">
      <c r="A51" s="19"/>
      <c r="B51" s="43" t="s">
        <v>466</v>
      </c>
      <c r="C51" s="56">
        <f>VLOOKUP(A3,Data!A1:AQ88,23,FALSE)</f>
        <v>0.1123</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1.5</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Meets or exceeds current state target</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0.26269999999999999</v>
      </c>
      <c r="E58" s="23"/>
      <c r="F58" s="23"/>
      <c r="G58" s="23"/>
      <c r="H58" s="23"/>
      <c r="I58" s="23"/>
      <c r="J58" s="23"/>
    </row>
    <row r="59" spans="1:10" ht="11.25" customHeight="1" x14ac:dyDescent="0.2">
      <c r="A59" s="19"/>
      <c r="B59" s="43" t="s">
        <v>466</v>
      </c>
      <c r="C59" s="56">
        <f>VLOOKUP(A3,Data!A1:AQ88,26,FALSE)</f>
        <v>0.26390000000000002</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1</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Meets or exceeds prior year’s state performance</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7.5999999999999998E-2</v>
      </c>
      <c r="E66" s="23"/>
      <c r="F66" s="23"/>
      <c r="G66" s="23"/>
      <c r="H66" s="23"/>
      <c r="I66" s="23"/>
      <c r="J66" s="23"/>
    </row>
    <row r="67" spans="1:10" ht="11.25" customHeight="1" x14ac:dyDescent="0.2">
      <c r="A67" s="19"/>
      <c r="B67" s="43" t="s">
        <v>466</v>
      </c>
      <c r="C67" s="56">
        <f>VLOOKUP(A3,Data!A1:AQ88,29,FALSE)</f>
        <v>8.1199999999999994E-2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2</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prior year’s state performance</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0.69869999999999999</v>
      </c>
      <c r="E74" s="23"/>
      <c r="F74" s="23"/>
      <c r="G74" s="23"/>
      <c r="H74" s="23"/>
      <c r="I74" s="23"/>
      <c r="J74" s="23"/>
    </row>
    <row r="75" spans="1:10" ht="11.25" customHeight="1" x14ac:dyDescent="0.2">
      <c r="A75" s="19"/>
      <c r="B75" s="43" t="s">
        <v>466</v>
      </c>
      <c r="C75" s="56">
        <f>VLOOKUP(A3,Data!A1:AQ88,32,FALSE)</f>
        <v>0.68440000000000001</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0</v>
      </c>
      <c r="C86" s="92" t="str">
        <f>IF(B86=0,"Does not meet prior year’s state performance and did not improve",
IF(B86=1,"Does not meet prior year’s state performance but improved since last year",
IF(B86=2,"Meets or exceeds prior year’s state performance",
IF(B86=3,"Meets or exceeds current state target",""))))</f>
        <v>Does not meet prior year’s state performance and did not improve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6.9500000000000006E-2</v>
      </c>
      <c r="E90" s="23"/>
      <c r="F90" s="23"/>
      <c r="G90" s="23"/>
      <c r="H90" s="23"/>
      <c r="I90" s="23"/>
      <c r="J90" s="23"/>
    </row>
    <row r="91" spans="1:10" ht="11.25" customHeight="1" x14ac:dyDescent="0.2">
      <c r="A91" s="19"/>
      <c r="B91" s="43" t="s">
        <v>466</v>
      </c>
      <c r="C91" s="56">
        <f>VLOOKUP(A3,Data!A1:AQ88,38,FALSE)</f>
        <v>0.1605</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3</v>
      </c>
      <c r="C94" s="92" t="str">
        <f>IF(B94=0,"Does not meet prior year’s state performance and did not improve",
IF(B94=1,"Does not meet prior year’s state performance but improved since last year",
IF(B94=2,"Meets or exceeds prior year’s state performance",
IF(B94=3,"Meets or exceeds current state target",""))))</f>
        <v>Meets or exceeds current state target</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0.24</v>
      </c>
      <c r="E98" s="23"/>
      <c r="F98" s="23"/>
      <c r="G98" s="23"/>
      <c r="H98" s="23"/>
      <c r="I98" s="23"/>
      <c r="J98" s="23"/>
    </row>
    <row r="99" spans="1:10" ht="11.25" customHeight="1" x14ac:dyDescent="0.2">
      <c r="A99" s="19"/>
      <c r="B99" s="43" t="s">
        <v>466</v>
      </c>
      <c r="C99" s="56">
        <f>VLOOKUP(A3,Data!A1:AQ88,41,FALSE)</f>
        <v>0.42699999999999999</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14.5</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17</v>
      </c>
      <c r="B104" s="99">
        <f>B101</f>
        <v>14.5</v>
      </c>
      <c r="C104" s="63">
        <f>VLOOKUP(A3,Data!A1:AQ88,42,FALSE)</f>
        <v>1</v>
      </c>
      <c r="D104" s="99">
        <f>SUM(A104:C104)</f>
        <v>32.5</v>
      </c>
      <c r="E104" s="63">
        <f>VLOOKUP(A3,Data!A1:AQ88,43,FALSE)</f>
        <v>40</v>
      </c>
      <c r="F104" s="33">
        <f>D104/E104</f>
        <v>0.8125</v>
      </c>
      <c r="G104" s="62" t="str">
        <f>IF(F104&gt;=0.8,"Meets Requirement",
IF(F104&gt;=0.6,"Needs Assistance",
IF(F104&gt;=0.3,"Needs Assistance",
IF(F104&lt;0.3,"Needs Assistance","NA"))))</f>
        <v>Meets Requirement</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x2xivfEOCmD4ap555qou52Xc/AH3hemtvFIgvY5zBBfnVgqWFSsvefOP3Kr3EitfDcQxuRPXjUfsPfdLmmYrA==" saltValue="k1v+2x8070hHpC4IhIbFAg=="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2023-09-06T13:28:22Z</dcterms:modified>
</cp:coreProperties>
</file>