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AB3B888B-2773-4F41-945D-AACDCA2F5028}" xr6:coauthVersionLast="47" xr6:coauthVersionMax="47" xr10:uidLastSave="{00000000-0000-0000-0000-000000000000}"/>
  <workbookProtection workbookAlgorithmName="SHA-512" workbookHashValue="fUstNZNqR9YuNLqASvrkVwVdCEP60D+rUy+T9zTY1aaHlI60dgSTpXRdhdJZrmzuqIAIt60lnCFeCQylGEbDZQ==" workbookSaltValue="BZhZCMTRMJegNLzOlio5d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<sst xmlns="http://schemas.openxmlformats.org/spreadsheetml/2006/main" count="2581" uniqueCount="605">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</sst>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0.3478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0.95240000000000002</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0.52170000000000005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0.6522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0.83333333333333304</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0.84615384615384603</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5.8823529411764698E-2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0.11764705882352899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0.33333333333333298</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0.18181818181818199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0.25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0.270290394638868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0.492307692307692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0.29230769230769199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0.22412509307520501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6.6666666666666693E-2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0.5</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0.163636363636364</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0.63500000000000001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9.4899999999999998E-2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0.5</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0.33329999999999999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0.66669999999999996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7.3000000000000001E-3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0.22220000000000001</c:v>
                </c:pt>
                <c:pt idx="3">
                  <c:v>5.5599999999999997E-2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0.66669999999999996</c:v>
                </c:pt>
                <c:pt idx="3">
                  <c:v>0</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c:v>
                </c:pt>
                <c:pt idx="3">
                  <c:v>0.1111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0.66869999999999996</c:v>
                </c:pt>
                <c:pt idx="3">
                  <c:v>0.63500000000000001</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0.1104</c:v>
                </c:pt>
                <c:pt idx="3">
                  <c:v>0.15890000000000001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9.0999999999999998E-2</c:v>
                </c:pt>
                <c:pt idx="3">
                  <c:v>0.27300000000000002</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0.25</c:v>
                </c:pt>
                <c:pt idx="3">
                  <c:v>0.4</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0.4</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61</v>
      </c>
      <c r="B3" s="36"/>
      <c r="C3" s="36"/>
      <c r="D3" s="36"/>
      <c r="E3" s="36"/>
      <c r="F3" s="36"/>
      <c r="G3" s="36"/>
      <c r="H3" s="36"/>
      <c r="I3" s="36"/>
      <c r="J3" s="36"/>
      <c r="K3" s="36"/>
      <c r="L3" s="36"/>
      <c r="M3" s="36"/>
      <c r="N3" s="36"/>
      <c r="O3" s="10"/>
    </row>
    <row r="4" spans="1:20" s="9" customFormat="1" ht="11.25" x14ac:dyDescent="0.2">
      <c r="A4" s="9" t="str">
        <f>+VLOOKUP(A3,'Old Data'!A1:CM88,2,FALSE)</f>
        <v>56 South Greenwood Avenue</v>
      </c>
      <c r="C4" s="12"/>
      <c r="E4" s="12"/>
      <c r="F4" s="12"/>
    </row>
    <row r="5" spans="1:20" s="9" customFormat="1" ht="11.25" x14ac:dyDescent="0.2">
      <c r="A5" s="9" t="str">
        <f>+VLOOKUP(A3,'Old Data'!A1:CM88,3,FALSE)</f>
        <v>Ware Shoals</v>
      </c>
      <c r="C5" s="12"/>
      <c r="E5" s="12"/>
      <c r="F5" s="12"/>
      <c r="G5" s="12" t="str">
        <f>+VLOOKUP(A3,'Old Data'!A1:CM88,4,FALSE)</f>
        <v>SC</v>
      </c>
      <c r="H5" s="12"/>
      <c r="I5" s="12">
        <f>+VLOOKUP(A3,'Old Data'!A1:CM88,5,FALSE)</f>
        <v>29692</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0.66669999999999996</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0.33329999999999999</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0.83333333333333304</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0.84615384615384603</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5.8823529411764698E-2</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0.6</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0.11764705882352899</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0.33333333333333298</v>
      </c>
      <c r="H49" s="66" t="s">
        <v>1</v>
      </c>
      <c r="I49" s="11" t="str">
        <f>IF(OR(G49="NA",G49="**"),"NA",IF(G49&lt;C49,"Not Met","Met"))</f>
        <v>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0.18181818181818199</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1</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0.5</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0.270290394638868</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0.492307692307692</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0.29230769230769199</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0.22412509307520501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6.6666666666666693E-2</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0.163636363636364</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0.63500000000000001</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9.4899999999999998E-2</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7.3000000000000001E-3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t="str">
        <f>VLOOKUP(A3,'Old Data'!A1:CM88,66,FALSE)</f>
        <v>NA</v>
      </c>
      <c r="H109" s="66" t="s">
        <v>1</v>
      </c>
      <c r="I109" s="11" t="str">
        <f>IF(OR(G109="NA",G109="**"),"NA",IF(G109&lt;C109,"Not Met","Met"))</f>
        <v>NA</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1</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0.25</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0.5</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0.3478</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0.95240000000000002</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0.52170000000000005</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0.6522</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0.5</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1</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1</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0OOTIUujGr3IB0uo98qMi5jSwgxE9mA5j/UjuY3qoGqB/LN593T+T6vuR7t2r5maOD6CcB/ebhVrxqLfoeSFhw==" saltValue="6DQXHQ0T4ORlxEZZKhcdk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61</v>
      </c>
      <c r="B3" s="36"/>
      <c r="C3" s="36"/>
      <c r="D3" s="36"/>
      <c r="E3" s="36"/>
      <c r="F3" s="36"/>
      <c r="G3" s="36"/>
      <c r="H3" s="10"/>
      <c r="I3" s="10"/>
      <c r="J3" s="10"/>
    </row>
    <row r="4" spans="1:10" x14ac:dyDescent="0.2">
      <c r="A4" s="9" t="str">
        <f>VLOOKUP(A3,Data!A1:AQ88,2,FALSE)</f>
        <v>56 South Greenwood Avenue</v>
      </c>
    </row>
    <row r="5" spans="1:10" x14ac:dyDescent="0.2">
      <c r="A5" s="9" t="str">
        <f>VLOOKUP(A3,Data!A1:AQ88,3,FALSE)</f>
        <v>Ware Shoals</v>
      </c>
      <c r="C5" s="12" t="str">
        <f>VLOOKUP(A3,Data!A1:AQ88,4,FALSE)</f>
        <v>SC</v>
      </c>
      <c r="D5" s="12">
        <f>VLOOKUP(A3,Data!A1:AQ88,5,FALSE)</f>
        <v>29692</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0.66669999999999996</v>
      </c>
      <c r="E34" s="23"/>
      <c r="F34" s="23"/>
      <c r="G34" s="23"/>
      <c r="H34" s="23"/>
      <c r="I34" s="23"/>
      <c r="J34" s="23"/>
    </row>
    <row r="35" spans="1:10" ht="11.25" customHeight="1" x14ac:dyDescent="0.2">
      <c r="A35" s="19"/>
      <c r="B35" s="43" t="s">
        <v>466</v>
      </c>
      <c r="C35" s="56">
        <f>VLOOKUP(A3,Data!A1:AQ88,17,FALSE)</f>
        <v>0</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0.22220000000000001</v>
      </c>
      <c r="E42" s="23"/>
      <c r="F42" s="23"/>
      <c r="G42" s="23"/>
      <c r="H42" s="23"/>
      <c r="I42" s="23"/>
      <c r="J42" s="23"/>
    </row>
    <row r="43" spans="1:10" ht="11.25" customHeight="1" x14ac:dyDescent="0.2">
      <c r="A43" s="19"/>
      <c r="B43" s="43" t="s">
        <v>466</v>
      </c>
      <c r="C43" s="56">
        <f>VLOOKUP(A3,Data!A1:AQ88,20,FALSE)</f>
        <v>5.5599999999999997E-2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current state target</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0.25</v>
      </c>
      <c r="E50" s="23"/>
      <c r="F50" s="23"/>
      <c r="G50" s="23"/>
      <c r="H50" s="23"/>
      <c r="I50" s="23"/>
      <c r="J50" s="23"/>
    </row>
    <row r="51" spans="1:10" ht="11.25" customHeight="1" x14ac:dyDescent="0.2">
      <c r="A51" s="19"/>
      <c r="B51" s="43" t="s">
        <v>466</v>
      </c>
      <c r="C51" s="56">
        <f>VLOOKUP(A3,Data!A1:AQ88,23,FALSE)</f>
        <v>0.4</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v>
      </c>
      <c r="E58" s="23"/>
      <c r="F58" s="23"/>
      <c r="G58" s="23"/>
      <c r="H58" s="23"/>
      <c r="I58" s="23"/>
      <c r="J58" s="23"/>
    </row>
    <row r="59" spans="1:10" ht="11.25" customHeight="1" x14ac:dyDescent="0.2">
      <c r="A59" s="19"/>
      <c r="B59" s="43" t="s">
        <v>466</v>
      </c>
      <c r="C59" s="56">
        <f>VLOOKUP(A3,Data!A1:AQ88,26,FALSE)</f>
        <v>0.1111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current state target</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v>
      </c>
      <c r="E66" s="23"/>
      <c r="F66" s="23"/>
      <c r="G66" s="23"/>
      <c r="H66" s="23"/>
      <c r="I66" s="23"/>
      <c r="J66" s="23"/>
    </row>
    <row r="67" spans="1:10" ht="11.25" customHeight="1" x14ac:dyDescent="0.2">
      <c r="A67" s="19"/>
      <c r="B67" s="43" t="s">
        <v>466</v>
      </c>
      <c r="C67" s="56">
        <f>VLOOKUP(A3,Data!A1:AQ88,29,FALSE)</f>
        <v>0.4</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0.66869999999999996</v>
      </c>
      <c r="E74" s="23"/>
      <c r="F74" s="23"/>
      <c r="G74" s="23"/>
      <c r="H74" s="23"/>
      <c r="I74" s="23"/>
      <c r="J74" s="23"/>
    </row>
    <row r="75" spans="1:10" ht="11.25" customHeight="1" x14ac:dyDescent="0.2">
      <c r="A75" s="19"/>
      <c r="B75" s="43" t="s">
        <v>466</v>
      </c>
      <c r="C75" s="56">
        <f>VLOOKUP(A3,Data!A1:AQ88,32,FALSE)</f>
        <v>0.63500000000000001</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0.1104</v>
      </c>
      <c r="E90" s="23"/>
      <c r="F90" s="23"/>
      <c r="G90" s="23"/>
      <c r="H90" s="23"/>
      <c r="I90" s="23"/>
      <c r="J90" s="23"/>
    </row>
    <row r="91" spans="1:10" ht="11.25" customHeight="1" x14ac:dyDescent="0.2">
      <c r="A91" s="19"/>
      <c r="B91" s="43" t="s">
        <v>466</v>
      </c>
      <c r="C91" s="56">
        <f>VLOOKUP(A3,Data!A1:AQ88,38,FALSE)</f>
        <v>0.15890000000000001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9.0999999999999998E-2</v>
      </c>
      <c r="E98" s="23"/>
      <c r="F98" s="23"/>
      <c r="G98" s="23"/>
      <c r="H98" s="23"/>
      <c r="I98" s="23"/>
      <c r="J98" s="23"/>
    </row>
    <row r="99" spans="1:10" ht="11.25" customHeight="1" x14ac:dyDescent="0.2">
      <c r="A99" s="19"/>
      <c r="B99" s="43" t="s">
        <v>466</v>
      </c>
      <c r="C99" s="56">
        <f>VLOOKUP(A3,Data!A1:AQ88,41,FALSE)</f>
        <v>0.27300000000000002</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9.5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9.5</v>
      </c>
      <c r="C104" s="63">
        <f>VLOOKUP(A3,Data!A1:AQ88,42,FALSE)</f>
        <v>1</v>
      </c>
      <c r="D104" s="99">
        <f>SUM(A104:C104)</f>
        <v>28.5</v>
      </c>
      <c r="E104" s="63">
        <f>VLOOKUP(A3,Data!A1:AQ88,43,FALSE)</f>
        <v>40</v>
      </c>
      <c r="F104" s="33">
        <f>D104/E104</f>
        <v>0.71250000000000002</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55+4PIPbGzpfF4i/v2XfucgCEb5kJLHpXa3qWhMUNsWQYZGy2Y8TQ1krhURWr/YPpBxZQR5qebsT0h9s2jLCjQ==" saltValue="N4jqmga+79EqPckh6dtBhg=="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2023-09-06T13:28:27Z</dcterms:modified>
</cp:coreProperties>
</file>