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460FAE9D-707A-48B1-907D-53DD0BE9268B}" xr6:coauthVersionLast="47" xr6:coauthVersionMax="47" xr10:uidLastSave="{00000000-0000-0000-0000-000000000000}"/>
  <workbookProtection workbookAlgorithmName="SHA-512" workbookHashValue="Cp24CKnq6H1eK0Hi4Wi+9flWxF3CDF7vghgOMbQc+IJQGOv5LIm1wy0oTIl98epwcqYTgXAFJbHjCSTCDRNwGg==" workbookSaltValue="xoicyxlW7nyBmLhk92cOHw=="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<sst xmlns="http://schemas.openxmlformats.org/spreadsheetml/2006/main" count="2581" uniqueCount="605">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</sst>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0.90910000000000002</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0.85709999999999997</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0.72729999999999995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0.66669999999999996</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0.33329999999999999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0.90910000000000002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0.96153846153846201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0.90909090909090895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0.91666666666666696</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0.16666666666666699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0.105263157894737</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0.45454545454545497</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0.24</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0.11764705882352899</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0.84619999999999995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0.66666666666666696</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0.33333333333333298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0.233333333333333</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0.26632154155881499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0.32262845849802402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4.90173410404625E-2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0.15763384005287501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7.6899999999999996E-2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0.41899441340782101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0.70230000000000004</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0.13739999999999999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0.9718</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0.4667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0.33329999999999999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7.6899999999999996E-2</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0.15</c:v>
                </c:pt>
                <c:pt idx="3">
                  <c:v>0.16</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0.33329999999999999</c:v>
                </c:pt>
                <c:pt idx="3">
                  <c:v>0.7</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0.21049999999999999</c:v>
                </c:pt>
                <c:pt idx="3">
                  <c:v>0.23080000000000001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0.7117</c:v>
                </c:pt>
                <c:pt idx="3">
                  <c:v>0.70230000000000004</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0.10680000000000001</c:v>
                </c:pt>
                <c:pt idx="3">
                  <c:v>0.1404</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0.66700000000000004</c:v>
                </c:pt>
                <c:pt idx="3">
                  <c:v>0.28599999999999998</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c:v>
                </c:pt>
                <c:pt idx="3">
                  <c:v>0.18179999999999999</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0.04</c:v>
                </c:pt>
                <c:pt idx="3">
                  <c:v>0.15</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7.6899999999999996E-2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0.25</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455</v>
      </c>
      <c r="B3" s="36"/>
      <c r="C3" s="36"/>
      <c r="D3" s="36"/>
      <c r="E3" s="36"/>
      <c r="F3" s="36"/>
      <c r="G3" s="36"/>
      <c r="H3" s="36"/>
      <c r="I3" s="36"/>
      <c r="J3" s="36"/>
      <c r="K3" s="36"/>
      <c r="L3" s="36"/>
      <c r="M3" s="36"/>
      <c r="N3" s="36"/>
      <c r="O3" s="10"/>
    </row>
    <row r="4" spans="1:20" s="9" customFormat="1" ht="11.25" x14ac:dyDescent="0.2">
      <c r="A4" s="9" t="str">
        <f>+VLOOKUP(A3,'Old Data'!A1:CM88,2,FALSE)</f>
        <v xml:space="preserve">372 Pine Street East </v>
      </c>
      <c r="C4" s="12"/>
      <c r="E4" s="12"/>
      <c r="F4" s="12"/>
    </row>
    <row r="5" spans="1:20" s="9" customFormat="1" ht="11.25" x14ac:dyDescent="0.2">
      <c r="A5" s="9" t="str">
        <f>+VLOOKUP(A3,'Old Data'!A1:CM88,3,FALSE)</f>
        <v>Varnville</v>
      </c>
      <c r="C5" s="12"/>
      <c r="E5" s="12"/>
      <c r="F5" s="12"/>
      <c r="G5" s="12" t="str">
        <f>+VLOOKUP(A3,'Old Data'!A1:CM88,4,FALSE)</f>
        <v>SC</v>
      </c>
      <c r="H5" s="12"/>
      <c r="I5" s="12">
        <f>+VLOOKUP(A3,'Old Data'!A1:CM88,5,FALSE)</f>
        <v>29944</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0.33329999999999999</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0.4667</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0.96153846153846201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0.90909090909090895</v>
      </c>
      <c r="H31" s="66" t="s">
        <v>1</v>
      </c>
      <c r="I31" s="11" t="str">
        <f>IF(OR(G31="NA",G31="**"),"NA",IF(G31&lt;C31,"Not Met","Met"))</f>
        <v>Not 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0.91666666666666696</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0.16666666666666699</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0.105263157894737</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0.45454545454545497</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0.24</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0.11764705882352899</v>
      </c>
      <c r="H49" s="66" t="s">
        <v>1</v>
      </c>
      <c r="I49" s="11" t="str">
        <f>IF(OR(G49="NA",G49="**"),"NA",IF(G49&lt;C49,"Not Met","Met"))</f>
        <v>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0.66666666666666696</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0.33333333333333298</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0.233333333333333</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0.26632154155881499</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0.32262845849802402</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4.90173410404625E-2</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0.15763384005287501</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0.41899441340782101</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NA</v>
      </c>
      <c r="H92" s="66" t="s">
        <v>1</v>
      </c>
      <c r="I92" s="11" t="str">
        <f t="shared" ref="I92" si="1">IF(OR(G92="NA",G92="**"),"NA",IF(G92="No","Met",IF(G92="Yes","Not Met")))</f>
        <v>NA</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NA</v>
      </c>
      <c r="H95" s="66" t="s">
        <v>1</v>
      </c>
      <c r="I95" s="11" t="str">
        <f>IF(OR(G95="NA",G95="**"),"NA",IF(G95="No","Met",IF(G95="Yes","Not Met")))</f>
        <v>NA</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0.70230000000000004</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0.13739999999999999</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0</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0.5</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0.33329999999999999</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0.84619999999999995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7.6899999999999996E-2</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7.6899999999999996E-2</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7.6899999999999996E-2</v>
      </c>
      <c r="H130" s="66" t="s">
        <v>1</v>
      </c>
      <c r="I130" s="11" t="str">
        <f>IF(OR(G130="NA",G130="**"),"NA",IF(G130&gt;C130,"Not Met","Met"))</f>
        <v>Not 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0.25</v>
      </c>
      <c r="H133" s="66" t="s">
        <v>1</v>
      </c>
      <c r="I133" s="11" t="str">
        <f>IF(OR(G133="NA",G133="**"),"NA",IF(G133&gt;C133,"Not Met","Met"))</f>
        <v>Not 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0.90910000000000002</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0.85709999999999997</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0.72729999999999995</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0.90910000000000002</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0.9718</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0.66669999999999996</v>
      </c>
      <c r="H180" s="66" t="s">
        <v>1</v>
      </c>
      <c r="I180" s="11" t="str">
        <f t="shared" si="3"/>
        <v>Not 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t="str">
        <f>VLOOKUP(A3,'Old Data'!A1:CM88,87,FALSE)</f>
        <v>NA</v>
      </c>
      <c r="H189" s="66" t="s">
        <v>1</v>
      </c>
      <c r="I189" s="11" t="str">
        <f t="shared" ref="I189" si="6">IF(OR(G189="NA",G189="**"),"NA",IF(G189&lt;C189,"Not Met","Met"))</f>
        <v>NA</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t="str">
        <f>VLOOKUP(A3,'Old Data'!A1:CM88,88,FALSE)</f>
        <v>NA</v>
      </c>
      <c r="H193" s="66" t="s">
        <v>1</v>
      </c>
      <c r="I193" s="11" t="str">
        <f>IF(OR(G193="NA",G193="**"),"NA",IF(G193&lt;C193,"Not Met","Met"))</f>
        <v>NA</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t="str">
        <f>VLOOKUP(A3,'Old Data'!A1:CM88,89,FALSE)</f>
        <v>NA</v>
      </c>
      <c r="H197" s="66" t="s">
        <v>1</v>
      </c>
      <c r="I197" s="11" t="str">
        <f t="shared" ref="I197" si="7">IF(OR(G197="NA",G197="**"),"NA",IF(G197&lt;C197,"Not Met","Met"))</f>
        <v>NA</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11iOyerIl8v2YAunz+KQhp5SgjdH/O1MyhF2+5+4S5KDyG3K10VDjNP0ECny3/3xVVK4oJhs9C9tBZjh8nRCUw==" saltValue="Mry40jMY6b5kf24G6S4r6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455</v>
      </c>
      <c r="B3" s="36"/>
      <c r="C3" s="36"/>
      <c r="D3" s="36"/>
      <c r="E3" s="36"/>
      <c r="F3" s="36"/>
      <c r="G3" s="36"/>
      <c r="H3" s="10"/>
      <c r="I3" s="10"/>
      <c r="J3" s="10"/>
    </row>
    <row r="4" spans="1:10" x14ac:dyDescent="0.2">
      <c r="A4" s="9" t="str">
        <f>VLOOKUP(A3,Data!A1:AQ88,2,FALSE)</f>
        <v xml:space="preserve">372 Pine Street East </v>
      </c>
    </row>
    <row r="5" spans="1:10" x14ac:dyDescent="0.2">
      <c r="A5" s="9" t="str">
        <f>VLOOKUP(A3,Data!A1:AQ88,3,FALSE)</f>
        <v>Varnville</v>
      </c>
      <c r="C5" s="12" t="str">
        <f>VLOOKUP(A3,Data!A1:AQ88,4,FALSE)</f>
        <v>SC</v>
      </c>
      <c r="D5" s="12">
        <f>VLOOKUP(A3,Data!A1:AQ88,5,FALSE)</f>
        <v>29944</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1</v>
      </c>
      <c r="C20" s="92" t="str">
        <f>IF(B20=0,"2 or more consecutive years of findings of non-compliance (current year and previous year(s))",
IF(B20=1,"Findings of non-compliance in the current year",
IF(B20=2,"No findings of non-compliance","")))</f>
        <v>Findings of non-compliance in the current year</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16</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0.33329999999999999</v>
      </c>
      <c r="E34" s="23"/>
      <c r="F34" s="23"/>
      <c r="G34" s="23"/>
      <c r="H34" s="23"/>
      <c r="I34" s="23"/>
      <c r="J34" s="23"/>
    </row>
    <row r="35" spans="1:10" ht="11.25" customHeight="1" x14ac:dyDescent="0.2">
      <c r="A35" s="19"/>
      <c r="B35" s="43" t="s">
        <v>466</v>
      </c>
      <c r="C35" s="56">
        <f>VLOOKUP(A3,Data!A1:AQ88,17,FALSE)</f>
        <v>0.7</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0.15</v>
      </c>
      <c r="E42" s="23"/>
      <c r="F42" s="23"/>
      <c r="G42" s="23"/>
      <c r="H42" s="23"/>
      <c r="I42" s="23"/>
      <c r="J42" s="23"/>
    </row>
    <row r="43" spans="1:10" ht="11.25" customHeight="1" x14ac:dyDescent="0.2">
      <c r="A43" s="19"/>
      <c r="B43" s="43" t="s">
        <v>466</v>
      </c>
      <c r="C43" s="56">
        <f>VLOOKUP(A3,Data!A1:AQ88,20,FALSE)</f>
        <v>0.16</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1.5</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current state target</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v>
      </c>
      <c r="E50" s="23"/>
      <c r="F50" s="23"/>
      <c r="G50" s="23"/>
      <c r="H50" s="23"/>
      <c r="I50" s="23"/>
      <c r="J50" s="23"/>
    </row>
    <row r="51" spans="1:10" ht="11.25" customHeight="1" x14ac:dyDescent="0.2">
      <c r="A51" s="19"/>
      <c r="B51" s="43" t="s">
        <v>466</v>
      </c>
      <c r="C51" s="56">
        <f>VLOOKUP(A3,Data!A1:AQ88,23,FALSE)</f>
        <v>0.18179999999999999</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0.21049999999999999</v>
      </c>
      <c r="E58" s="23"/>
      <c r="F58" s="23"/>
      <c r="G58" s="23"/>
      <c r="H58" s="23"/>
      <c r="I58" s="23"/>
      <c r="J58" s="23"/>
    </row>
    <row r="59" spans="1:10" ht="11.25" customHeight="1" x14ac:dyDescent="0.2">
      <c r="A59" s="19"/>
      <c r="B59" s="43" t="s">
        <v>466</v>
      </c>
      <c r="C59" s="56">
        <f>VLOOKUP(A3,Data!A1:AQ88,26,FALSE)</f>
        <v>0.23080000000000001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current state target</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0.04</v>
      </c>
      <c r="E66" s="23"/>
      <c r="F66" s="23"/>
      <c r="G66" s="23"/>
      <c r="H66" s="23"/>
      <c r="I66" s="23"/>
      <c r="J66" s="23"/>
    </row>
    <row r="67" spans="1:10" ht="11.25" customHeight="1" x14ac:dyDescent="0.2">
      <c r="A67" s="19"/>
      <c r="B67" s="43" t="s">
        <v>466</v>
      </c>
      <c r="C67" s="56">
        <f>VLOOKUP(A3,Data!A1:AQ88,29,FALSE)</f>
        <v>0.15</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0.7117</v>
      </c>
      <c r="E74" s="23"/>
      <c r="F74" s="23"/>
      <c r="G74" s="23"/>
      <c r="H74" s="23"/>
      <c r="I74" s="23"/>
      <c r="J74" s="23"/>
    </row>
    <row r="75" spans="1:10" ht="11.25" customHeight="1" x14ac:dyDescent="0.2">
      <c r="A75" s="19"/>
      <c r="B75" s="43" t="s">
        <v>466</v>
      </c>
      <c r="C75" s="56">
        <f>VLOOKUP(A3,Data!A1:AQ88,32,FALSE)</f>
        <v>0.70230000000000004</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0.10680000000000001</v>
      </c>
      <c r="E90" s="23"/>
      <c r="F90" s="23"/>
      <c r="G90" s="23"/>
      <c r="H90" s="23"/>
      <c r="I90" s="23"/>
      <c r="J90" s="23"/>
    </row>
    <row r="91" spans="1:10" ht="11.25" customHeight="1" x14ac:dyDescent="0.2">
      <c r="A91" s="19"/>
      <c r="B91" s="43" t="s">
        <v>466</v>
      </c>
      <c r="C91" s="56">
        <f>VLOOKUP(A3,Data!A1:AQ88,38,FALSE)</f>
        <v>0.1404</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0.66700000000000004</v>
      </c>
      <c r="E98" s="23"/>
      <c r="F98" s="23"/>
      <c r="G98" s="23"/>
      <c r="H98" s="23"/>
      <c r="I98" s="23"/>
      <c r="J98" s="23"/>
    </row>
    <row r="99" spans="1:10" ht="11.25" customHeight="1" x14ac:dyDescent="0.2">
      <c r="A99" s="19"/>
      <c r="B99" s="43" t="s">
        <v>466</v>
      </c>
      <c r="C99" s="56">
        <f>VLOOKUP(A3,Data!A1:AQ88,41,FALSE)</f>
        <v>0.28599999999999998</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16</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16</v>
      </c>
      <c r="B104" s="99">
        <f>B101</f>
        <v>16</v>
      </c>
      <c r="C104" s="63">
        <f>VLOOKUP(A3,Data!A1:AQ88,42,FALSE)</f>
        <v>1</v>
      </c>
      <c r="D104" s="99">
        <f>SUM(A104:C104)</f>
        <v>33</v>
      </c>
      <c r="E104" s="63">
        <f>VLOOKUP(A3,Data!A1:AQ88,43,FALSE)</f>
        <v>40</v>
      </c>
      <c r="F104" s="33">
        <f>D104/E104</f>
        <v>0.82499999999999996</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FTMj5ww8nWWWinTZoQg9ukh+oYwW6QkBaUCie4Wv9qfBatDslTSvdmWq7L/cr0hvhyBs3NVJxgbAAEyadPRitQ==" saltValue="MfL/hnlAJ07lNSyqmuoyo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2023-09-06T13:28:30Z</dcterms:modified>
</cp:coreProperties>
</file>