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E6DE4A41-E0A7-46D1-B0BF-B7DD1BAABBAE}" xr6:coauthVersionLast="47" xr6:coauthVersionMax="47" xr10:uidLastSave="{00000000-0000-0000-0000-000000000000}"/>
  <workbookProtection workbookAlgorithmName="SHA-512" workbookHashValue="yUC371T7Vbrgx92jOXT4u+9+A5XGw67SCoORkWtEPVnunhLn39PeEvWsOt6I9p7QgqNLBlc9P8dCvcI14qK10Q==" workbookSaltValue="WreYYpUFod9wIwkszwklA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<sst xmlns="http://schemas.openxmlformats.org/spreadsheetml/2006/main" count="2581" uniqueCount="605">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</sst>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0.18179999999999999</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0.50539999999999996</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0.90259999999999996</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0.52939999999999998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0.93159999999999998</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0.64049999999999996</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0.98514851485148502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0.97001763668430296</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0.40300000000000002</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0.96747967479674801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0.96825396825396803</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0.96917808219178103</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0.19892473118279599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8.9494163424124501E-2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0.554112554112554</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0.191413237924866</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4.4921875E-2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0.483539094650206</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0.487179487179487</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0.41670000000000001</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0.33333333333333298</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0.28571428571428598</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0.256410256410256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0.40540540540540498</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0.4</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0.35647259151728999</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0.40730241959776498</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0.32165719153671002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0.30445453067017503</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0.32483500450841601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0.21286878483994501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0.53269999999999995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0.14680000000000001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0.99850000000000005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0.19420000000000001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0.63109999999999999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0.67959999999999998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0.34989999999999999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0.39479999999999998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9.2999999999999992E-3</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9.7000000000000003E-3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0.98679867986798697</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0.21390000000000001</c:v>
                </c:pt>
                <c:pt idx="3">
                  <c:v>0.21779999999999999</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6.1000000000000004E-3</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0.39479999999999998</c:v>
                </c:pt>
                <c:pt idx="3">
                  <c:v>0.55930000000000002</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0.20319999999999999</c:v>
                </c:pt>
                <c:pt idx="3">
                  <c:v>0.19570000000000001</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0.5585</c:v>
                </c:pt>
                <c:pt idx="3">
                  <c:v>0.53269999999999995</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8.9399999999999993E-2</c:v>
                </c:pt>
                <c:pt idx="3">
                  <c:v>0.21690000000000001</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0.222</c:v>
                </c:pt>
                <c:pt idx="3">
                  <c:v>0.36899999999999999</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0.1099</c:v>
                </c:pt>
                <c:pt idx="3">
                  <c:v>0.1055</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2.0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0.1062</c:v>
                </c:pt>
                <c:pt idx="3">
                  <c:v>6.9199999999999998E-2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9.2999999999999992E-3</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0.89580000000000004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63</v>
      </c>
      <c r="B3" s="36"/>
      <c r="C3" s="36"/>
      <c r="D3" s="36"/>
      <c r="E3" s="36"/>
      <c r="F3" s="36"/>
      <c r="G3" s="36"/>
      <c r="H3" s="36"/>
      <c r="I3" s="36"/>
      <c r="J3" s="36"/>
      <c r="K3" s="36"/>
      <c r="L3" s="36"/>
      <c r="M3" s="36"/>
      <c r="N3" s="36"/>
      <c r="O3" s="10"/>
    </row>
    <row r="4" spans="1:20" s="9" customFormat="1" ht="11.25" x14ac:dyDescent="0.2">
      <c r="A4" s="9" t="str">
        <f>+VLOOKUP(A3,'Old Data'!A1:CM88,2,FALSE)</f>
        <v>335 Four Mile Rd</v>
      </c>
      <c r="C4" s="12"/>
      <c r="E4" s="12"/>
      <c r="F4" s="12"/>
    </row>
    <row r="5" spans="1:20" s="9" customFormat="1" ht="11.25" x14ac:dyDescent="0.2">
      <c r="A5" s="9" t="str">
        <f>+VLOOKUP(A3,'Old Data'!A1:CM88,3,FALSE)</f>
        <v>Conway</v>
      </c>
      <c r="C5" s="12"/>
      <c r="E5" s="12"/>
      <c r="F5" s="12"/>
      <c r="G5" s="12" t="str">
        <f>+VLOOKUP(A3,'Old Data'!A1:CM88,4,FALSE)</f>
        <v>SC</v>
      </c>
      <c r="H5" s="12"/>
      <c r="I5" s="12">
        <f>+VLOOKUP(A3,'Old Data'!A1:CM88,5,FALSE)</f>
        <v>29526</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0.39479999999999998</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0.34989999999999999</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0.98514851485148502</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0.97001763668430296</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0.96747967479674801</v>
      </c>
      <c r="H25" s="66" t="s">
        <v>1</v>
      </c>
      <c r="I25" s="11" t="str">
        <f>IF(OR(G25="NA",G25="**"),"NA",IF(G25&lt;C25,"Not Met","Met"))</f>
        <v>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0.98679867986798697</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0.96825396825396803</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0.96917808219178103</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0.19892473118279599</v>
      </c>
      <c r="H37" s="66" t="s">
        <v>1</v>
      </c>
      <c r="I37" s="11" t="str">
        <f>IF(OR(G37="NA",G37="**"),"NA",IF(G37&lt;C37,"Not Met","Met"))</f>
        <v>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8.9494163424124501E-2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0.554112554112554</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0.191413237924866</v>
      </c>
      <c r="H46" s="66" t="s">
        <v>1</v>
      </c>
      <c r="I46" s="11" t="str">
        <f>IF(OR(G46="NA",G46="**"),"NA",IF(G46&lt;C46,"Not Met","Met"))</f>
        <v>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4.4921875E-2</v>
      </c>
      <c r="H49" s="66" t="s">
        <v>1</v>
      </c>
      <c r="I49" s="11" t="str">
        <f>IF(OR(G49="NA",G49="**"),"NA",IF(G49&lt;C49,"Not Met","Met"))</f>
        <v>Not 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0.483539094650206</v>
      </c>
      <c r="H52" s="66" t="s">
        <v>1</v>
      </c>
      <c r="I52" s="11" t="str">
        <f>IF(OR(G52="NA",G52="**"),"NA",IF(G52&lt;C52,"Not Met","Met"))</f>
        <v>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0.487179487179487</v>
      </c>
      <c r="H55" s="66" t="s">
        <v>1</v>
      </c>
      <c r="I55" s="11" t="str">
        <f>IF(OR(G55="NA",G55="**"),"NA",IF(G55&lt;C55,"Not Met","Met"))</f>
        <v>Not 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0.33333333333333298</v>
      </c>
      <c r="H58" s="66" t="s">
        <v>1</v>
      </c>
      <c r="I58" s="11" t="str">
        <f>IF(OR(G58="NA",G58="**"),"NA",IF(G58&lt;C58,"Not Met","Met"))</f>
        <v>Not 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f>VLOOKUP(A3,'Old Data'!A1:CM88,51,FALSE)</f>
        <v>0.28571428571428598</v>
      </c>
      <c r="H61" s="66" t="s">
        <v>1</v>
      </c>
      <c r="I61" s="11" t="str">
        <f>IF(OR(G61="NA",G61="**"),"NA",IF(G61&lt;C61,"Not Met","Met"))</f>
        <v>Not Met</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0.256410256410256</v>
      </c>
      <c r="H64" s="66" t="s">
        <v>1</v>
      </c>
      <c r="I64" s="11" t="str">
        <f>IF(OR(G64="NA",G64="**"),"NA",IF(G64&lt;C64,"Not Met","Met"))</f>
        <v>Not 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0.40540540540540498</v>
      </c>
      <c r="H67" s="66" t="s">
        <v>1</v>
      </c>
      <c r="I67" s="11" t="str">
        <f>IF(OR(G67="NA",G67="**"),"NA",IF(G67&lt;C67,"Not Met","Met"))</f>
        <v>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0.4</v>
      </c>
      <c r="H70" s="66" t="s">
        <v>1</v>
      </c>
      <c r="I70" s="11" t="str">
        <f>IF(OR(G70="NA",G70="**"),"NA",IF(G70&lt;C70,"Not Met","Met"))</f>
        <v>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0.35647259151728999</v>
      </c>
      <c r="H73" s="66" t="s">
        <v>1</v>
      </c>
      <c r="I73" s="11" t="str">
        <f>IF(OR(G73="NA",G73="**"),"NA",IF(G73&gt;C73,"Not Met","Met"))</f>
        <v>Not 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0.40730241959776498</v>
      </c>
      <c r="H76" s="66" t="s">
        <v>1</v>
      </c>
      <c r="I76" s="11" t="str">
        <f>IF(OR(G76="NA",G76="**"),"NA",IF(G76&gt;C76,"Not Met","Met"))</f>
        <v>Not 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0.32165719153671002</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0.30445453067017503</v>
      </c>
      <c r="H82" s="66" t="s">
        <v>1</v>
      </c>
      <c r="I82" s="11" t="str">
        <f>IF(OR(G82="NA",G82="**"),"NA",IF(G82&gt;C82,"Not Met","Met"))</f>
        <v>Not 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0.32483500450841601</v>
      </c>
      <c r="H85" s="66" t="s">
        <v>1</v>
      </c>
      <c r="I85" s="11" t="str">
        <f>IF(OR(G85="NA",G85="**"),"NA",IF(G85&gt;C85,"Not Met","Met"))</f>
        <v>Not 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0.21286878483994501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No</v>
      </c>
      <c r="H92" s="66" t="s">
        <v>1</v>
      </c>
      <c r="I92" s="11" t="str">
        <f t="shared" ref="I92" si="1">IF(OR(G92="NA",G92="**"),"NA",IF(G92="No","Met",IF(G92="Yes","Not Met")))</f>
        <v>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0.53269999999999995</v>
      </c>
      <c r="H99" s="66" t="s">
        <v>1</v>
      </c>
      <c r="I99" s="11" t="str">
        <f t="shared" ref="I99" si="2">IF(OR(G99="NA",G99="**"),"NA",IF(G99&lt;C99,"Not Met","Met"))</f>
        <v>Not 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0.14680000000000001</v>
      </c>
      <c r="H102" s="66" t="s">
        <v>1</v>
      </c>
      <c r="I102" s="11" t="str">
        <f>IF(OR(G102="NA",G102="**"),"NA",IF(G102&gt;C102,"Not Met","Met"))</f>
        <v>Not 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9.7000000000000003E-3</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0.18179999999999999</v>
      </c>
      <c r="H109" s="66" t="s">
        <v>1</v>
      </c>
      <c r="I109" s="11" t="str">
        <f>IF(OR(G109="NA",G109="**"),"NA",IF(G109&lt;C109,"Not Met","Met"))</f>
        <v>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v>
      </c>
      <c r="H112" s="66" t="s">
        <v>1</v>
      </c>
      <c r="I112" s="11" t="str">
        <f t="shared" ref="I112:I180" si="3">IF(OR(G112="NA",G112="**"),"NA",IF(G112&lt;C112,"Not Met","Met"))</f>
        <v>Not 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0.40300000000000002</v>
      </c>
      <c r="H115" s="66" t="s">
        <v>1</v>
      </c>
      <c r="I115" s="11" t="str">
        <f t="shared" si="3"/>
        <v>Not 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0.41670000000000001</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v>
      </c>
      <c r="H121" s="66" t="s">
        <v>1</v>
      </c>
      <c r="I121" s="11" t="str">
        <f>IF(OR(G121="NA",G121="**"),"NA",IF(G121&gt;C121,"Not Met","Met"))</f>
        <v>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9.2999999999999992E-3</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6.1000000000000004E-3</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9.2999999999999992E-3</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f>VLOOKUP(A3,'Old Data'!A1:CM88,74,FALSE)</f>
        <v>0</v>
      </c>
      <c r="H133" s="66" t="s">
        <v>1</v>
      </c>
      <c r="I133" s="11" t="str">
        <f>IF(OR(G133="NA",G133="**"),"NA",IF(G133&gt;C133,"Not Met","Met"))</f>
        <v>Met</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0.89580000000000004</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0.50539999999999996</v>
      </c>
      <c r="H142" s="66" t="s">
        <v>1</v>
      </c>
      <c r="I142" s="11" t="str">
        <f t="shared" si="3"/>
        <v>Not 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0.90259999999999996</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0.52939999999999998</v>
      </c>
      <c r="H150" s="66" t="s">
        <v>1</v>
      </c>
      <c r="I150" s="11" t="str">
        <f t="shared" si="3"/>
        <v>Not 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0.93159999999999998</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0.64049999999999996</v>
      </c>
      <c r="H158" s="66" t="s">
        <v>1</v>
      </c>
      <c r="I158" s="11" t="str">
        <f t="shared" si="3"/>
        <v>Not 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0.99850000000000005</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0.19420000000000001</v>
      </c>
      <c r="H189" s="66" t="s">
        <v>1</v>
      </c>
      <c r="I189" s="11" t="str">
        <f t="shared" ref="I189" si="6">IF(OR(G189="NA",G189="**"),"NA",IF(G189&lt;C189,"Not Met","Met"))</f>
        <v>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0.63109999999999999</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0.67959999999999998</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Bt+TUd+jryQmGX5QihYIY8IQPvGrUKUccvjSBnDDrq+B/J2pz2OE4xalb++WnxpFA9W4g8ueNd1hzhnnUr2Tsg==" saltValue="HK4CEx7SZoLQpTeUpqVcgg=="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63</v>
      </c>
      <c r="B3" s="36"/>
      <c r="C3" s="36"/>
      <c r="D3" s="36"/>
      <c r="E3" s="36"/>
      <c r="F3" s="36"/>
      <c r="G3" s="36"/>
      <c r="H3" s="10"/>
      <c r="I3" s="10"/>
      <c r="J3" s="10"/>
    </row>
    <row r="4" spans="1:10" x14ac:dyDescent="0.2">
      <c r="A4" s="9" t="str">
        <f>VLOOKUP(A3,Data!A1:AQ88,2,FALSE)</f>
        <v>335 Four Mile Rd</v>
      </c>
    </row>
    <row r="5" spans="1:10" x14ac:dyDescent="0.2">
      <c r="A5" s="9" t="str">
        <f>VLOOKUP(A3,Data!A1:AQ88,3,FALSE)</f>
        <v>Conway</v>
      </c>
      <c r="C5" s="12" t="str">
        <f>VLOOKUP(A3,Data!A1:AQ88,4,FALSE)</f>
        <v>SC</v>
      </c>
      <c r="D5" s="12">
        <f>VLOOKUP(A3,Data!A1:AQ88,5,FALSE)</f>
        <v>29526</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2</v>
      </c>
      <c r="C30" s="92" t="str">
        <f>IF(B30=0,"Does not meet prior year’s state performance and did not improve",
IF(B30=1,"Does not meet prior year’s state performance but improved since last year",
IF(B30=2,"Meets or exceeds prior year’s state performance",
IF(B30=3,"Meets or exceeds current state target",""))))</f>
        <v>Meets or exceeds prior year’s state performance</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0.39479999999999998</v>
      </c>
      <c r="E34" s="23"/>
      <c r="F34" s="23"/>
      <c r="G34" s="23"/>
      <c r="H34" s="23"/>
      <c r="I34" s="23"/>
      <c r="J34" s="23"/>
    </row>
    <row r="35" spans="1:10" ht="11.25" customHeight="1" x14ac:dyDescent="0.2">
      <c r="A35" s="19"/>
      <c r="B35" s="43" t="s">
        <v>466</v>
      </c>
      <c r="C35" s="56">
        <f>VLOOKUP(A3,Data!A1:AQ88,17,FALSE)</f>
        <v>0.55930000000000002</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1</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Meets or exceeds prior year’s state performance</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0.21390000000000001</v>
      </c>
      <c r="E42" s="23"/>
      <c r="F42" s="23"/>
      <c r="G42" s="23"/>
      <c r="H42" s="23"/>
      <c r="I42" s="23"/>
      <c r="J42" s="23"/>
    </row>
    <row r="43" spans="1:10" ht="11.25" customHeight="1" x14ac:dyDescent="0.2">
      <c r="A43" s="19"/>
      <c r="B43" s="43" t="s">
        <v>466</v>
      </c>
      <c r="C43" s="56">
        <f>VLOOKUP(A3,Data!A1:AQ88,20,FALSE)</f>
        <v>0.21779999999999999</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0.1099</v>
      </c>
      <c r="E50" s="23"/>
      <c r="F50" s="23"/>
      <c r="G50" s="23"/>
      <c r="H50" s="23"/>
      <c r="I50" s="23"/>
      <c r="J50" s="23"/>
    </row>
    <row r="51" spans="1:10" ht="11.25" customHeight="1" x14ac:dyDescent="0.2">
      <c r="A51" s="19"/>
      <c r="B51" s="43" t="s">
        <v>466</v>
      </c>
      <c r="C51" s="56">
        <f>VLOOKUP(A3,Data!A1:AQ88,23,FALSE)</f>
        <v>0.1055</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and did not improve</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0.20319999999999999</v>
      </c>
      <c r="E58" s="23"/>
      <c r="F58" s="23"/>
      <c r="G58" s="23"/>
      <c r="H58" s="23"/>
      <c r="I58" s="23"/>
      <c r="J58" s="23"/>
    </row>
    <row r="59" spans="1:10" ht="11.25" customHeight="1" x14ac:dyDescent="0.2">
      <c r="A59" s="19"/>
      <c r="B59" s="43" t="s">
        <v>466</v>
      </c>
      <c r="C59" s="56">
        <f>VLOOKUP(A3,Data!A1:AQ88,26,FALSE)</f>
        <v>0.19570000000000001</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0</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Does not meet prior year’s state performance and did not improve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0.1062</v>
      </c>
      <c r="E66" s="23"/>
      <c r="F66" s="23"/>
      <c r="G66" s="23"/>
      <c r="H66" s="23"/>
      <c r="I66" s="23"/>
      <c r="J66" s="23"/>
    </row>
    <row r="67" spans="1:10" ht="11.25" customHeight="1" x14ac:dyDescent="0.2">
      <c r="A67" s="19"/>
      <c r="B67" s="43" t="s">
        <v>466</v>
      </c>
      <c r="C67" s="56">
        <f>VLOOKUP(A3,Data!A1:AQ88,29,FALSE)</f>
        <v>6.9199999999999998E-2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0</v>
      </c>
      <c r="C70" s="92" t="str">
        <f>IF(B70=0,"Does not meet prior year’s state performance and did not improve",
IF(B70=1,"Does not meet prior year’s state performance but improved since last year",
IF(B70=2,"Meets or exceeds prior year’s state performance",
IF(B70=3,"Meets or exceeds current state target",""))))</f>
        <v>Does not meet prior year’s state performance and did not improve</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0.5585</v>
      </c>
      <c r="E74" s="23"/>
      <c r="F74" s="23"/>
      <c r="G74" s="23"/>
      <c r="H74" s="23"/>
      <c r="I74" s="23"/>
      <c r="J74" s="23"/>
    </row>
    <row r="75" spans="1:10" ht="11.25" customHeight="1" x14ac:dyDescent="0.2">
      <c r="A75" s="19"/>
      <c r="B75" s="43" t="s">
        <v>466</v>
      </c>
      <c r="C75" s="56">
        <f>VLOOKUP(A3,Data!A1:AQ88,32,FALSE)</f>
        <v>0.53269999999999995</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8.9399999999999993E-2</v>
      </c>
      <c r="E90" s="23"/>
      <c r="F90" s="23"/>
      <c r="G90" s="23"/>
      <c r="H90" s="23"/>
      <c r="I90" s="23"/>
      <c r="J90" s="23"/>
    </row>
    <row r="91" spans="1:10" ht="11.25" customHeight="1" x14ac:dyDescent="0.2">
      <c r="A91" s="19"/>
      <c r="B91" s="43" t="s">
        <v>466</v>
      </c>
      <c r="C91" s="56">
        <f>VLOOKUP(A3,Data!A1:AQ88,38,FALSE)</f>
        <v>0.21690000000000001</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2</v>
      </c>
      <c r="C94" s="92" t="str">
        <f>IF(B94=0,"Does not meet prior year’s state performance and did not improve",
IF(B94=1,"Does not meet prior year’s state performance but improved since last year",
IF(B94=2,"Meets or exceeds prior year’s state performance",
IF(B94=3,"Meets or exceeds current state target",""))))</f>
        <v>Meets or exceeds prior year’s state performance</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0.222</v>
      </c>
      <c r="E98" s="23"/>
      <c r="F98" s="23"/>
      <c r="G98" s="23"/>
      <c r="H98" s="23"/>
      <c r="I98" s="23"/>
      <c r="J98" s="23"/>
    </row>
    <row r="99" spans="1:10" ht="11.25" customHeight="1" x14ac:dyDescent="0.2">
      <c r="A99" s="19"/>
      <c r="B99" s="43" t="s">
        <v>466</v>
      </c>
      <c r="C99" s="56">
        <f>VLOOKUP(A3,Data!A1:AQ88,41,FALSE)</f>
        <v>0.36899999999999999</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9</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9</v>
      </c>
      <c r="C104" s="63">
        <f>VLOOKUP(A3,Data!A1:AQ88,42,FALSE)</f>
        <v>1</v>
      </c>
      <c r="D104" s="99">
        <f>SUM(A104:C104)</f>
        <v>27</v>
      </c>
      <c r="E104" s="63">
        <f>VLOOKUP(A3,Data!A1:AQ88,43,FALSE)</f>
        <v>40</v>
      </c>
      <c r="F104" s="33">
        <f>D104/E104</f>
        <v>0.67500000000000004</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drAQ9BO0Nb1Qx21d1UF2ga+u5GOxdDf/vS1l2f/B+3C5lvdn4naMl070+JJL1jMQhgQyJ2SSYgYualWacLW2Fw==" saltValue="0a6Sdyypz6vOy8rntuTwb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2023-09-06T13:28:31Z</dcterms:modified>
</cp:coreProperties>
</file>