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A658FBE6-9E0C-42AA-857F-77D60CAA919F}" xr6:coauthVersionLast="47" xr6:coauthVersionMax="47" xr10:uidLastSave="{00000000-0000-0000-0000-000000000000}"/>
  <workbookProtection workbookAlgorithmName="SHA-512" workbookHashValue="+QH/o5X5Ywz718iK+baR2dwIVX5/VsMyjLXIB3WluLBwcXBtLUOpYXL2gxauN89fJHDjcmDgHOG61oQLfMsPtw==" workbookSaltValue="PZZ+/NtXmyQsP3gKFPpO7Q=="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<sst xmlns="http://schemas.openxmlformats.org/spreadsheetml/2006/main" count="2581" uniqueCount="605">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</sst>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0.36359999999999998</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0.4783</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0.90480000000000005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0.39129999999999998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0.9</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0.45450000000000002</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0.56520000000000004</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0.88235294117647101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0.77777777777777801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0.82352941176470595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0.83333333333333304</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0.16666666666666699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0.4</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0.15384615384615399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0.66666666666666696</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0.4</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0.33333333333333298</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1</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3.7313432835820899E-2</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0.251461988304094</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0.25</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0.11764705882352899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0.111764705882353</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0.13531047265987001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0.56720000000000004</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0.17649999999999999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2.1000000000000001E-2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9.5200000000000007E-2</c:v>
                </c:pt>
                <c:pt idx="3">
                  <c:v>0.23810000000000001</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c:v>
                </c:pt>
                <c:pt idx="3">
                  <c:v>0.83330000000000004</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9.5200000000000007E-2</c:v>
                </c:pt>
                <c:pt idx="3">
                  <c:v>4.7600000000000003E-2</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0.44629999999999997</c:v>
                </c:pt>
                <c:pt idx="3">
                  <c:v>0.56720000000000004</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2.07E-2</c:v>
                </c:pt>
                <c:pt idx="3">
                  <c:v>8.2000000000000003E-2</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0.17599999999999999</c:v>
                </c:pt>
                <c:pt idx="3">
                  <c:v>0.42899999999999999</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5.5599999999999997E-2</c:v>
                </c:pt>
                <c:pt idx="3">
                  <c:v>0.1333</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5.2600000000000001E-2</c:v>
                </c:pt>
                <c:pt idx="3">
                  <c:v>0.28570000000000001</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0.95240000000000002</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64</v>
      </c>
      <c r="B3" s="36"/>
      <c r="C3" s="36"/>
      <c r="D3" s="36"/>
      <c r="E3" s="36"/>
      <c r="F3" s="36"/>
      <c r="G3" s="36"/>
      <c r="H3" s="36"/>
      <c r="I3" s="36"/>
      <c r="J3" s="36"/>
      <c r="K3" s="36"/>
      <c r="L3" s="36"/>
      <c r="M3" s="36"/>
      <c r="N3" s="36"/>
      <c r="O3" s="10"/>
    </row>
    <row r="4" spans="1:20" s="9" customFormat="1" ht="11.25" x14ac:dyDescent="0.2">
      <c r="A4" s="9" t="str">
        <f>+VLOOKUP(A3,'Old Data'!A1:CM88,2,FALSE)</f>
        <v>PO Box 848</v>
      </c>
      <c r="C4" s="12"/>
      <c r="E4" s="12"/>
      <c r="F4" s="12"/>
    </row>
    <row r="5" spans="1:20" s="9" customFormat="1" ht="11.25" x14ac:dyDescent="0.2">
      <c r="A5" s="9" t="str">
        <f>+VLOOKUP(A3,'Old Data'!A1:CM88,3,FALSE)</f>
        <v>Ridgeland</v>
      </c>
      <c r="C5" s="12"/>
      <c r="E5" s="12"/>
      <c r="F5" s="12"/>
      <c r="G5" s="12" t="str">
        <f>+VLOOKUP(A3,'Old Data'!A1:CM88,4,FALSE)</f>
        <v>SC</v>
      </c>
      <c r="H5" s="12"/>
      <c r="I5" s="12">
        <f>+VLOOKUP(A3,'Old Data'!A1:CM88,5,FALSE)</f>
        <v>29936</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1</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0.88235294117647101</v>
      </c>
      <c r="H22" s="66" t="s">
        <v>1</v>
      </c>
      <c r="I22" s="11" t="str">
        <f>IF(OR(G22="NA",G22="**"),"NA",IF(G22&lt;C22,"Not Met","Met"))</f>
        <v>Not 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0.77777777777777801</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0.82352941176470595</v>
      </c>
      <c r="H31" s="66" t="s">
        <v>1</v>
      </c>
      <c r="I31" s="11" t="str">
        <f>IF(OR(G31="NA",G31="**"),"NA",IF(G31&lt;C31,"Not Met","Met"))</f>
        <v>Not 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0.83333333333333304</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0.16666666666666699</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0.4</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0.15384615384615399</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0.66666666666666696</v>
      </c>
      <c r="H55" s="66" t="s">
        <v>1</v>
      </c>
      <c r="I55" s="11" t="str">
        <f>IF(OR(G55="NA",G55="**"),"NA",IF(G55&lt;C55,"Not Met","Met"))</f>
        <v>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0.4</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0.5</v>
      </c>
      <c r="H61" s="66" t="s">
        <v>1</v>
      </c>
      <c r="I61" s="11" t="str">
        <f>IF(OR(G61="NA",G61="**"),"NA",IF(G61&lt;C61,"Not Met","Met"))</f>
        <v>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0.33333333333333298</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1</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0.5</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3.7313432835820899E-2</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0.251461988304094</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0.25</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0.11764705882352899</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0.111764705882353</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0.13531047265987001</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0.56720000000000004</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0.17649999999999999</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2.1000000000000001E-2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0.36359999999999998</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0.45450000000000002</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1</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1</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t="str">
        <f>VLOOKUP(A3,'Old Data'!A1:CM88,70,FALSE)</f>
        <v>NA</v>
      </c>
      <c r="H121" s="66" t="s">
        <v>1</v>
      </c>
      <c r="I121" s="11" t="str">
        <f>IF(OR(G121="NA",G121="**"),"NA",IF(G121&gt;C121,"Not Met","Met"))</f>
        <v>NA</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0.95240000000000002</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0.4783</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0.90480000000000005</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0.39129999999999998</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0.9</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0.56520000000000004</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v>
      </c>
      <c r="H189" s="66" t="s">
        <v>1</v>
      </c>
      <c r="I189" s="11" t="str">
        <f t="shared" ref="I189" si="6">IF(OR(G189="NA",G189="**"),"NA",IF(G189&lt;C189,"Not Met","Met"))</f>
        <v>Not 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v>
      </c>
      <c r="H193" s="66" t="s">
        <v>1</v>
      </c>
      <c r="I193" s="11" t="str">
        <f>IF(OR(G193="NA",G193="**"),"NA",IF(G193&lt;C193,"Not Met","Met"))</f>
        <v>Not 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aeNgMlQdOMuNnAL7dwpgo5yY4LK8EUJ8MlAYhf5in98JRqt23ngPv/LAYXUcV+jnW8YMVGBi3JL85jH6b/cyQ==" saltValue="f0w2WXgNm39+weeD2lqWXg=="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64</v>
      </c>
      <c r="B3" s="36"/>
      <c r="C3" s="36"/>
      <c r="D3" s="36"/>
      <c r="E3" s="36"/>
      <c r="F3" s="36"/>
      <c r="G3" s="36"/>
      <c r="H3" s="10"/>
      <c r="I3" s="10"/>
      <c r="J3" s="10"/>
    </row>
    <row r="4" spans="1:10" x14ac:dyDescent="0.2">
      <c r="A4" s="9" t="str">
        <f>VLOOKUP(A3,Data!A1:AQ88,2,FALSE)</f>
        <v>PO Box 848</v>
      </c>
    </row>
    <row r="5" spans="1:10" x14ac:dyDescent="0.2">
      <c r="A5" s="9" t="str">
        <f>VLOOKUP(A3,Data!A1:AQ88,3,FALSE)</f>
        <v>Ridgeland</v>
      </c>
      <c r="C5" s="12" t="str">
        <f>VLOOKUP(A3,Data!A1:AQ88,4,FALSE)</f>
        <v>SC</v>
      </c>
      <c r="D5" s="12">
        <f>VLOOKUP(A3,Data!A1:AQ88,5,FALSE)</f>
        <v>29936</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3</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current state target</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v>
      </c>
      <c r="E34" s="23"/>
      <c r="F34" s="23"/>
      <c r="G34" s="23"/>
      <c r="H34" s="23"/>
      <c r="I34" s="23"/>
      <c r="J34" s="23"/>
    </row>
    <row r="35" spans="1:10" ht="11.25" customHeight="1" x14ac:dyDescent="0.2">
      <c r="A35" s="19"/>
      <c r="B35" s="43" t="s">
        <v>466</v>
      </c>
      <c r="C35" s="56">
        <f>VLOOKUP(A3,Data!A1:AQ88,17,FALSE)</f>
        <v>0.83330000000000004</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prior year’s state performance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9.5200000000000007E-2</v>
      </c>
      <c r="E42" s="23"/>
      <c r="F42" s="23"/>
      <c r="G42" s="23"/>
      <c r="H42" s="23"/>
      <c r="I42" s="23"/>
      <c r="J42" s="23"/>
    </row>
    <row r="43" spans="1:10" ht="11.25" customHeight="1" x14ac:dyDescent="0.2">
      <c r="A43" s="19"/>
      <c r="B43" s="43" t="s">
        <v>466</v>
      </c>
      <c r="C43" s="56">
        <f>VLOOKUP(A3,Data!A1:AQ88,20,FALSE)</f>
        <v>0.23810000000000001</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5.5599999999999997E-2</v>
      </c>
      <c r="E50" s="23"/>
      <c r="F50" s="23"/>
      <c r="G50" s="23"/>
      <c r="H50" s="23"/>
      <c r="I50" s="23"/>
      <c r="J50" s="23"/>
    </row>
    <row r="51" spans="1:10" ht="11.25" customHeight="1" x14ac:dyDescent="0.2">
      <c r="A51" s="19"/>
      <c r="B51" s="43" t="s">
        <v>466</v>
      </c>
      <c r="C51" s="56">
        <f>VLOOKUP(A3,Data!A1:AQ88,23,FALSE)</f>
        <v>0.1333</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and did not improve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9.5200000000000007E-2</v>
      </c>
      <c r="E58" s="23"/>
      <c r="F58" s="23"/>
      <c r="G58" s="23"/>
      <c r="H58" s="23"/>
      <c r="I58" s="23"/>
      <c r="J58" s="23"/>
    </row>
    <row r="59" spans="1:10" ht="11.25" customHeight="1" x14ac:dyDescent="0.2">
      <c r="A59" s="19"/>
      <c r="B59" s="43" t="s">
        <v>466</v>
      </c>
      <c r="C59" s="56">
        <f>VLOOKUP(A3,Data!A1:AQ88,26,FALSE)</f>
        <v>4.7600000000000003E-2</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1.5</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Meets or exceeds current state target</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5.2600000000000001E-2</v>
      </c>
      <c r="E66" s="23"/>
      <c r="F66" s="23"/>
      <c r="G66" s="23"/>
      <c r="H66" s="23"/>
      <c r="I66" s="23"/>
      <c r="J66" s="23"/>
    </row>
    <row r="67" spans="1:10" ht="11.25" customHeight="1" x14ac:dyDescent="0.2">
      <c r="A67" s="19"/>
      <c r="B67" s="43" t="s">
        <v>466</v>
      </c>
      <c r="C67" s="56">
        <f>VLOOKUP(A3,Data!A1:AQ88,29,FALSE)</f>
        <v>0.28570000000000001</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1</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but improved since last year</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0.44629999999999997</v>
      </c>
      <c r="E74" s="23"/>
      <c r="F74" s="23"/>
      <c r="G74" s="23"/>
      <c r="H74" s="23"/>
      <c r="I74" s="23"/>
      <c r="J74" s="23"/>
    </row>
    <row r="75" spans="1:10" ht="11.25" customHeight="1" x14ac:dyDescent="0.2">
      <c r="A75" s="19"/>
      <c r="B75" s="43" t="s">
        <v>466</v>
      </c>
      <c r="C75" s="56">
        <f>VLOOKUP(A3,Data!A1:AQ88,32,FALSE)</f>
        <v>0.56720000000000004</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3</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current state target</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2.07E-2</v>
      </c>
      <c r="E90" s="23"/>
      <c r="F90" s="23"/>
      <c r="G90" s="23"/>
      <c r="H90" s="23"/>
      <c r="I90" s="23"/>
      <c r="J90" s="23"/>
    </row>
    <row r="91" spans="1:10" ht="11.25" customHeight="1" x14ac:dyDescent="0.2">
      <c r="A91" s="19"/>
      <c r="B91" s="43" t="s">
        <v>466</v>
      </c>
      <c r="C91" s="56">
        <f>VLOOKUP(A3,Data!A1:AQ88,38,FALSE)</f>
        <v>8.2000000000000003E-2</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3</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current state target</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0.17599999999999999</v>
      </c>
      <c r="E98" s="23"/>
      <c r="F98" s="23"/>
      <c r="G98" s="23"/>
      <c r="H98" s="23"/>
      <c r="I98" s="23"/>
      <c r="J98" s="23"/>
    </row>
    <row r="99" spans="1:10" ht="11.25" customHeight="1" x14ac:dyDescent="0.2">
      <c r="A99" s="19"/>
      <c r="B99" s="43" t="s">
        <v>466</v>
      </c>
      <c r="C99" s="56">
        <f>VLOOKUP(A3,Data!A1:AQ88,41,FALSE)</f>
        <v>0.42899999999999999</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16.5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16.5</v>
      </c>
      <c r="C104" s="63">
        <f>VLOOKUP(A3,Data!A1:AQ88,42,FALSE)</f>
        <v>1</v>
      </c>
      <c r="D104" s="99">
        <f>SUM(A104:C104)</f>
        <v>35.5</v>
      </c>
      <c r="E104" s="63">
        <f>VLOOKUP(A3,Data!A1:AQ88,43,FALSE)</f>
        <v>40</v>
      </c>
      <c r="F104" s="33">
        <f>D104/E104</f>
        <v>0.88749999999999996</v>
      </c>
      <c r="G104" s="62" t="str">
        <f>IF(F104&gt;=0.8,"Meets Requirement",
IF(F104&gt;=0.6,"Needs Assistance",
IF(F104&gt;=0.3,"Needs Assistance",
IF(F104&lt;0.3,"Needs Assistance","NA"))))</f>
        <v>Meets Requirement</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Z35AUzxFiDy7l0rKXxfiMwIFtiPoaOOrzEitO1KBQb8+3t5gBF1Vogg6x+M1jeY5QsTv/3HjQJvRFTq9Eh4dJg==" saltValue="GcJ0+pPC2xw5YQsuCj8Ou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2023-09-06T13:28:32Z</dcterms:modified>
</cp:coreProperties>
</file>