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A2D8F6AD-6443-465F-887F-B5681B8DB217}" xr6:coauthVersionLast="47" xr6:coauthVersionMax="47" xr10:uidLastSave="{00000000-0000-0000-0000-000000000000}"/>
  <workbookProtection workbookAlgorithmName="SHA-512" workbookHashValue="x7sg9/UcEY6GzfGujniFPaQ6XQl1tlT4snv4NYKpgO5e63K9xHb+NWK2fAit9vrB2Dmbtl8/P5M+XH5T2PXt+A==" workbookSaltValue="Cvx9uzzuc9GUodphVqDzG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<sst xmlns="http://schemas.openxmlformats.org/spreadsheetml/2006/main" count="2581" uniqueCount="605">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</sst>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0.31819999999999998</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0.55449999999999999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0.94810000000000005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0.56440000000000001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0.95589999999999997</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0.36359999999999998</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0.63370000000000004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0.97260273972602695</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0.97122302158273399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0.85709999999999997</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0.92307692307692302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0.97857142857142898</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0.91666666666666696</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0.25373134328358199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0.110236220472441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0.61038961038961004</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0.22222222222222199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2.32558139534884E-2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0.32876712328767099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0.59519999999999995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0.14285714285714299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0.375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0.25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0.22566940578008801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0.40330657476049497</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0.27540056225315201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0.15683014685508501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0.23245691727610901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0.3095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0.322636126343053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0.53969999999999996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0.20730000000000001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0.99239999999999995</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0.3412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1.17E-2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0.97278911564625803</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0.21010000000000001</c:v>
                </c:pt>
                <c:pt idx="3">
                  <c:v>0.2676</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c:v>
                </c:pt>
                <c:pt idx="3">
                  <c:v>0.45119999999999999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0.15970000000000001</c:v>
                </c:pt>
                <c:pt idx="3">
                  <c:v>0.23080000000000001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0.50880000000000003</c:v>
                </c:pt>
                <c:pt idx="3">
                  <c:v>0.53969999999999996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8.8099999999999998E-2</c:v>
                </c:pt>
                <c:pt idx="3">
                  <c:v>0.13569999999999999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0.315</c:v>
                </c:pt>
                <c:pt idx="3">
                  <c:v>0.36699999999999999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0.1176</c:v>
                </c:pt>
                <c:pt idx="3">
                  <c:v>0.11849999999999999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5.0500000000000003E-2</c:v>
                </c:pt>
                <c:pt idx="3">
                  <c:v>3.6499999999999998E-2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0.95350000000000001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65</v>
      </c>
      <c r="B3" s="36"/>
      <c r="C3" s="36"/>
      <c r="D3" s="36"/>
      <c r="E3" s="36"/>
      <c r="F3" s="36"/>
      <c r="G3" s="36"/>
      <c r="H3" s="36"/>
      <c r="I3" s="36"/>
      <c r="J3" s="36"/>
      <c r="K3" s="36"/>
      <c r="L3" s="36"/>
      <c r="M3" s="36"/>
      <c r="N3" s="36"/>
      <c r="O3" s="10"/>
    </row>
    <row r="4" spans="1:20" s="9" customFormat="1" ht="11.25" x14ac:dyDescent="0.2">
      <c r="A4" s="9" t="str">
        <f>+VLOOKUP(A3,'Old Data'!A1:CM88,2,FALSE)</f>
        <v xml:space="preserve">2029 West DeKalb Street </v>
      </c>
      <c r="C4" s="12"/>
      <c r="E4" s="12"/>
      <c r="F4" s="12"/>
    </row>
    <row r="5" spans="1:20" s="9" customFormat="1" ht="11.25" x14ac:dyDescent="0.2">
      <c r="A5" s="9" t="str">
        <f>+VLOOKUP(A3,'Old Data'!A1:CM88,3,FALSE)</f>
        <v>Camden</v>
      </c>
      <c r="C5" s="12"/>
      <c r="E5" s="12"/>
      <c r="F5" s="12"/>
      <c r="G5" s="12" t="str">
        <f>+VLOOKUP(A3,'Old Data'!A1:CM88,4,FALSE)</f>
        <v>SC</v>
      </c>
      <c r="H5" s="12"/>
      <c r="I5" s="12">
        <f>+VLOOKUP(A3,'Old Data'!A1:CM88,5,FALSE)</f>
        <v>29020</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0.3412</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0.97260273972602695</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0.97122302158273399</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0.92307692307692302</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0.97278911564625803</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0.97857142857142898</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0.91666666666666696</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0.25373134328358199</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0.110236220472441</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0.61038961038961004</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0.22222222222222199</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2.32558139534884E-2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0.32876712328767099</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0.25</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0.14285714285714299</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0.375</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0.25</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0.5</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0.22566940578008801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0.40330657476049497</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0.27540056225315201</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0.15683014685508501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0.23245691727610901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0.322636126343053</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0.53969999999999996</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0.20730000000000001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1.17E-2</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0.31819999999999998</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0.36359999999999998</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0.85709999999999997</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0.59519999999999995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0.3095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0.95350000000000001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0.55449999999999999</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0.94810000000000005</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0.56440000000000001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0.95589999999999997</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0.63370000000000004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t="str">
        <f>VLOOKUP(A3,'Old Data'!A1:CM88,81,FALSE)</f>
        <v>NA</v>
      </c>
      <c r="H162" s="66" t="s">
        <v>1</v>
      </c>
      <c r="I162" s="11" t="str">
        <f t="shared" ref="I162" si="4">IF(OR(G162="NA",G162="**"),"NA",IF(G162&lt;C162,"Not Met","Met"))</f>
        <v>NA</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0.99239999999999995</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tj8cronLI4yH1GhAUhYN5dGKpZ2OcN4Tst1YyLtqUhA+En+q7D2Dnq8Xc/yJU4ucJz6hoGb2C2VE8X4FwXBIvw==" saltValue="ofcltWqNwsxF5z3qCjG0O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65</v>
      </c>
      <c r="B3" s="36"/>
      <c r="C3" s="36"/>
      <c r="D3" s="36"/>
      <c r="E3" s="36"/>
      <c r="F3" s="36"/>
      <c r="G3" s="36"/>
      <c r="H3" s="10"/>
      <c r="I3" s="10"/>
      <c r="J3" s="10"/>
    </row>
    <row r="4" spans="1:10" x14ac:dyDescent="0.2">
      <c r="A4" s="9" t="str">
        <f>VLOOKUP(A3,Data!A1:AQ88,2,FALSE)</f>
        <v xml:space="preserve">2029 West DeKalb Street </v>
      </c>
    </row>
    <row r="5" spans="1:10" x14ac:dyDescent="0.2">
      <c r="A5" s="9" t="str">
        <f>VLOOKUP(A3,Data!A1:AQ88,3,FALSE)</f>
        <v>Camden</v>
      </c>
      <c r="C5" s="12" t="str">
        <f>VLOOKUP(A3,Data!A1:AQ88,4,FALSE)</f>
        <v>SC</v>
      </c>
      <c r="D5" s="12">
        <f>VLOOKUP(A3,Data!A1:AQ88,5,FALSE)</f>
        <v>29020</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16</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v>
      </c>
      <c r="E34" s="23"/>
      <c r="F34" s="23"/>
      <c r="G34" s="23"/>
      <c r="H34" s="23"/>
      <c r="I34" s="23"/>
      <c r="J34" s="23"/>
    </row>
    <row r="35" spans="1:10" ht="11.25" customHeight="1" x14ac:dyDescent="0.2">
      <c r="A35" s="19"/>
      <c r="B35" s="43" t="s">
        <v>466</v>
      </c>
      <c r="C35" s="56">
        <f>VLOOKUP(A3,Data!A1:AQ88,17,FALSE)</f>
        <v>0.45119999999999999</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current state target</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0.21010000000000001</v>
      </c>
      <c r="E42" s="23"/>
      <c r="F42" s="23"/>
      <c r="G42" s="23"/>
      <c r="H42" s="23"/>
      <c r="I42" s="23"/>
      <c r="J42" s="23"/>
    </row>
    <row r="43" spans="1:10" ht="11.25" customHeight="1" x14ac:dyDescent="0.2">
      <c r="A43" s="19"/>
      <c r="B43" s="43" t="s">
        <v>466</v>
      </c>
      <c r="C43" s="56">
        <f>VLOOKUP(A3,Data!A1:AQ88,20,FALSE)</f>
        <v>0.2676</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0.1176</v>
      </c>
      <c r="E50" s="23"/>
      <c r="F50" s="23"/>
      <c r="G50" s="23"/>
      <c r="H50" s="23"/>
      <c r="I50" s="23"/>
      <c r="J50" s="23"/>
    </row>
    <row r="51" spans="1:10" ht="11.25" customHeight="1" x14ac:dyDescent="0.2">
      <c r="A51" s="19"/>
      <c r="B51" s="43" t="s">
        <v>466</v>
      </c>
      <c r="C51" s="56">
        <f>VLOOKUP(A3,Data!A1:AQ88,23,FALSE)</f>
        <v>0.11849999999999999</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0.15970000000000001</v>
      </c>
      <c r="E58" s="23"/>
      <c r="F58" s="23"/>
      <c r="G58" s="23"/>
      <c r="H58" s="23"/>
      <c r="I58" s="23"/>
      <c r="J58" s="23"/>
    </row>
    <row r="59" spans="1:10" ht="11.25" customHeight="1" x14ac:dyDescent="0.2">
      <c r="A59" s="19"/>
      <c r="B59" s="43" t="s">
        <v>466</v>
      </c>
      <c r="C59" s="56">
        <f>VLOOKUP(A3,Data!A1:AQ88,26,FALSE)</f>
        <v>0.23080000000000001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5.0500000000000003E-2</v>
      </c>
      <c r="E66" s="23"/>
      <c r="F66" s="23"/>
      <c r="G66" s="23"/>
      <c r="H66" s="23"/>
      <c r="I66" s="23"/>
      <c r="J66" s="23"/>
    </row>
    <row r="67" spans="1:10" ht="11.25" customHeight="1" x14ac:dyDescent="0.2">
      <c r="A67" s="19"/>
      <c r="B67" s="43" t="s">
        <v>466</v>
      </c>
      <c r="C67" s="56">
        <f>VLOOKUP(A3,Data!A1:AQ88,29,FALSE)</f>
        <v>3.6499999999999998E-2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1</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but improved since last year</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0.50880000000000003</v>
      </c>
      <c r="E74" s="23"/>
      <c r="F74" s="23"/>
      <c r="G74" s="23"/>
      <c r="H74" s="23"/>
      <c r="I74" s="23"/>
      <c r="J74" s="23"/>
    </row>
    <row r="75" spans="1:10" ht="11.25" customHeight="1" x14ac:dyDescent="0.2">
      <c r="A75" s="19"/>
      <c r="B75" s="43" t="s">
        <v>466</v>
      </c>
      <c r="C75" s="56">
        <f>VLOOKUP(A3,Data!A1:AQ88,32,FALSE)</f>
        <v>0.53969999999999996</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8.8099999999999998E-2</v>
      </c>
      <c r="E90" s="23"/>
      <c r="F90" s="23"/>
      <c r="G90" s="23"/>
      <c r="H90" s="23"/>
      <c r="I90" s="23"/>
      <c r="J90" s="23"/>
    </row>
    <row r="91" spans="1:10" ht="11.25" customHeight="1" x14ac:dyDescent="0.2">
      <c r="A91" s="19"/>
      <c r="B91" s="43" t="s">
        <v>466</v>
      </c>
      <c r="C91" s="56">
        <f>VLOOKUP(A3,Data!A1:AQ88,38,FALSE)</f>
        <v>0.13569999999999999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0.315</v>
      </c>
      <c r="E98" s="23"/>
      <c r="F98" s="23"/>
      <c r="G98" s="23"/>
      <c r="H98" s="23"/>
      <c r="I98" s="23"/>
      <c r="J98" s="23"/>
    </row>
    <row r="99" spans="1:10" ht="11.25" customHeight="1" x14ac:dyDescent="0.2">
      <c r="A99" s="19"/>
      <c r="B99" s="43" t="s">
        <v>466</v>
      </c>
      <c r="C99" s="56">
        <f>VLOOKUP(A3,Data!A1:AQ88,41,FALSE)</f>
        <v>0.36699999999999999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12</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16</v>
      </c>
      <c r="B104" s="99">
        <f>B101</f>
        <v>12</v>
      </c>
      <c r="C104" s="63">
        <f>VLOOKUP(A3,Data!A1:AQ88,42,FALSE)</f>
        <v>1</v>
      </c>
      <c r="D104" s="99">
        <f>SUM(A104:C104)</f>
        <v>29</v>
      </c>
      <c r="E104" s="63">
        <f>VLOOKUP(A3,Data!A1:AQ88,43,FALSE)</f>
        <v>40</v>
      </c>
      <c r="F104" s="33">
        <f>D104/E104</f>
        <v>0.72499999999999998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X90fHfbskzi1fHPx+z/kV7HtYRFQXF2SGmo66jGiMbGpm83cHDXmAgrhiOl/sjS62LmBnvqgtDi+VMTC1iHUxw==" saltValue="CAuaZfcR6SFQ9tjZpSiXs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2023-09-06T13:28:33Z</dcterms:modified>
</cp:coreProperties>
</file>