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78708769-AE0D-4369-9F61-AD029D8B62D8}" xr6:coauthVersionLast="47" xr6:coauthVersionMax="47" xr10:uidLastSave="{00000000-0000-0000-0000-000000000000}"/>
  <workbookProtection workbookAlgorithmName="SHA-512" workbookHashValue="BXdZHorIkbdgutfGT01Yoe8lNq0Yt48/yQ+V0kymvOS2Jz53Pr8ez/Bx+tFfcEXrwsnrOsWNOkNdg6UIGG5h4A==" workbookSaltValue="AsmfoyWHSTiuRvp0ef91yw=="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<sst xmlns="http://schemas.openxmlformats.org/spreadsheetml/2006/main" count="2581" uniqueCount="605">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</sst>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0.15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0.59719999999999995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0.98329999999999995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0.58330000000000004</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0.55000000000000004</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0.70830000000000004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0.96923076923076901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0.98484848484848497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0.42859999999999998</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0.92105263157894701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0.98484848484848497</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0.98148148148148195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0.114754098360656</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6.4516129032258104E-2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0.45161290322580599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7.9365079365079402E-2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3.2258064516128997E-2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0.29166666666666702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1</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0.33333333333333298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0.2</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0.18876893686969701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0.245060708384223</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0.36256802586954801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0.170634920634921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0.14146131187585301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0.36670000000000003</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0.150193798449612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0.60970000000000002</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0.16200000000000001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0.97209999999999996</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0.45450000000000002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0.54549999999999998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0.54549999999999998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0.3654</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0.44230000000000003</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1.4E-2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0.13850000000000001</c:v>
                </c:pt>
                <c:pt idx="3">
                  <c:v>0.1111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0.1</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0.44230000000000003</c:v>
                </c:pt>
                <c:pt idx="3">
                  <c:v>0.62260000000000004</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0.16420000000000001</c:v>
                </c:pt>
                <c:pt idx="3">
                  <c:v>7.6899999999999996E-2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0.65210000000000001</c:v>
                </c:pt>
                <c:pt idx="3">
                  <c:v>0.60970000000000002</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7.9899999999999999E-2</c:v>
                </c:pt>
                <c:pt idx="3">
                  <c:v>9.7500000000000003E-2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0.13800000000000001</c:v>
                </c:pt>
                <c:pt idx="3">
                  <c:v>0.25700000000000001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7.8100000000000003E-2</c:v>
                </c:pt>
                <c:pt idx="3">
                  <c:v>6.1499999999999999E-2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4.7600000000000003E-2</c:v>
                </c:pt>
                <c:pt idx="3">
                  <c:v>4.6199999999999998E-2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0.98280000000000001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67</v>
      </c>
      <c r="B3" s="36"/>
      <c r="C3" s="36"/>
      <c r="D3" s="36"/>
      <c r="E3" s="36"/>
      <c r="F3" s="36"/>
      <c r="G3" s="36"/>
      <c r="H3" s="36"/>
      <c r="I3" s="36"/>
      <c r="J3" s="36"/>
      <c r="K3" s="36"/>
      <c r="L3" s="36"/>
      <c r="M3" s="36"/>
      <c r="N3" s="36"/>
      <c r="O3" s="10"/>
    </row>
    <row r="4" spans="1:20" s="9" customFormat="1" ht="11.25" x14ac:dyDescent="0.2">
      <c r="A4" s="9" t="str">
        <f>+VLOOKUP(A3,'Old Data'!A1:CM88,2,FALSE)</f>
        <v>301 Hillcrest Drive</v>
      </c>
      <c r="C4" s="12"/>
      <c r="E4" s="12"/>
      <c r="F4" s="12"/>
    </row>
    <row r="5" spans="1:20" s="9" customFormat="1" ht="11.25" x14ac:dyDescent="0.2">
      <c r="A5" s="9" t="str">
        <f>+VLOOKUP(A3,'Old Data'!A1:CM88,3,FALSE)</f>
        <v>Laurens</v>
      </c>
      <c r="C5" s="12"/>
      <c r="E5" s="12"/>
      <c r="F5" s="12"/>
      <c r="G5" s="12" t="str">
        <f>+VLOOKUP(A3,'Old Data'!A1:CM88,4,FALSE)</f>
        <v>SC</v>
      </c>
      <c r="H5" s="12"/>
      <c r="I5" s="12">
        <f>+VLOOKUP(A3,'Old Data'!A1:CM88,5,FALSE)</f>
        <v>29360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0.44230000000000003</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0.3654</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0.96923076923076901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0.98484848484848497</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0.92105263157894701</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0.98484848484848497</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0.98148148148148195</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0.114754098360656</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6.4516129032258104E-2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0.45161290322580599</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7.9365079365079402E-2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3.2258064516128997E-2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0.29166666666666702</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1</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0.33333333333333298</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0.2</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0.18876893686969701</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0.245060708384223</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0.36256802586954801</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0.170634920634921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0.14146131187585301</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0.150193798449612</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0.60970000000000002</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0.16200000000000001</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1.4E-2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0.15</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0.55000000000000004</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0.42859999999999998</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0.36670000000000003</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0.1</v>
      </c>
      <c r="H127" s="66" t="s">
        <v>1</v>
      </c>
      <c r="I127" s="11" t="str">
        <f>IF(OR(G127="NA",G127="**"),"NA",IF(G127&gt;C127,"Not Met","Met"))</f>
        <v>Not 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0.98280000000000001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0.59719999999999995</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0.98329999999999995</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0.58330000000000004</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0.70830000000000004</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0.97209999999999996</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0.45450000000000002</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0.54549999999999998</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0.54549999999999998</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K6W8cEp1HRRfRkEdSXDotrWdfmTV/9Y4k3AUNQ0V5dgdRxXNbcjTPQf+pQ9ZEuFP8w40zoR7UHYsJ34ECoIkbQ==" saltValue="jpvsCneBRIK/gJcMGny3x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67</v>
      </c>
      <c r="B3" s="36"/>
      <c r="C3" s="36"/>
      <c r="D3" s="36"/>
      <c r="E3" s="36"/>
      <c r="F3" s="36"/>
      <c r="G3" s="36"/>
      <c r="H3" s="10"/>
      <c r="I3" s="10"/>
      <c r="J3" s="10"/>
    </row>
    <row r="4" spans="1:10" x14ac:dyDescent="0.2">
      <c r="A4" s="9" t="str">
        <f>VLOOKUP(A3,Data!A1:AQ88,2,FALSE)</f>
        <v>301 Hillcrest Drive</v>
      </c>
    </row>
    <row r="5" spans="1:10" x14ac:dyDescent="0.2">
      <c r="A5" s="9" t="str">
        <f>VLOOKUP(A3,Data!A1:AQ88,3,FALSE)</f>
        <v>Laurens</v>
      </c>
      <c r="C5" s="12" t="str">
        <f>VLOOKUP(A3,Data!A1:AQ88,4,FALSE)</f>
        <v>SC</v>
      </c>
      <c r="D5" s="12">
        <f>VLOOKUP(A3,Data!A1:AQ88,5,FALSE)</f>
        <v>29360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1</v>
      </c>
      <c r="C14" s="94" t="str">
        <f>IF(B14=0,"2 or more consecutive years of findings of non-compliance (current year and previous year(s))",
IF(B14=1,"Findings of non-compliance in the current year",
IF(B14=2,"No findings of non-compliance","")))</f>
        <v>Findings of non-compliance in the current year</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16</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0.44230000000000003</v>
      </c>
      <c r="E34" s="23"/>
      <c r="F34" s="23"/>
      <c r="G34" s="23"/>
      <c r="H34" s="23"/>
      <c r="I34" s="23"/>
      <c r="J34" s="23"/>
    </row>
    <row r="35" spans="1:10" ht="11.25" customHeight="1" x14ac:dyDescent="0.2">
      <c r="A35" s="19"/>
      <c r="B35" s="43" t="s">
        <v>466</v>
      </c>
      <c r="C35" s="56">
        <f>VLOOKUP(A3,Data!A1:AQ88,17,FALSE)</f>
        <v>0.62260000000000004</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0.13850000000000001</v>
      </c>
      <c r="E42" s="23"/>
      <c r="F42" s="23"/>
      <c r="G42" s="23"/>
      <c r="H42" s="23"/>
      <c r="I42" s="23"/>
      <c r="J42" s="23"/>
    </row>
    <row r="43" spans="1:10" ht="11.25" customHeight="1" x14ac:dyDescent="0.2">
      <c r="A43" s="19"/>
      <c r="B43" s="43" t="s">
        <v>466</v>
      </c>
      <c r="C43" s="56">
        <f>VLOOKUP(A3,Data!A1:AQ88,20,FALSE)</f>
        <v>0.1111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7.8100000000000003E-2</v>
      </c>
      <c r="E50" s="23"/>
      <c r="F50" s="23"/>
      <c r="G50" s="23"/>
      <c r="H50" s="23"/>
      <c r="I50" s="23"/>
      <c r="J50" s="23"/>
    </row>
    <row r="51" spans="1:10" ht="11.25" customHeight="1" x14ac:dyDescent="0.2">
      <c r="A51" s="19"/>
      <c r="B51" s="43" t="s">
        <v>466</v>
      </c>
      <c r="C51" s="56">
        <f>VLOOKUP(A3,Data!A1:AQ88,23,FALSE)</f>
        <v>6.1499999999999999E-2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0.16420000000000001</v>
      </c>
      <c r="E58" s="23"/>
      <c r="F58" s="23"/>
      <c r="G58" s="23"/>
      <c r="H58" s="23"/>
      <c r="I58" s="23"/>
      <c r="J58" s="23"/>
    </row>
    <row r="59" spans="1:10" ht="11.25" customHeight="1" x14ac:dyDescent="0.2">
      <c r="A59" s="19"/>
      <c r="B59" s="43" t="s">
        <v>466</v>
      </c>
      <c r="C59" s="56">
        <f>VLOOKUP(A3,Data!A1:AQ88,26,FALSE)</f>
        <v>7.6899999999999996E-2</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4.7600000000000003E-2</v>
      </c>
      <c r="E66" s="23"/>
      <c r="F66" s="23"/>
      <c r="G66" s="23"/>
      <c r="H66" s="23"/>
      <c r="I66" s="23"/>
      <c r="J66" s="23"/>
    </row>
    <row r="67" spans="1:10" ht="11.25" customHeight="1" x14ac:dyDescent="0.2">
      <c r="A67" s="19"/>
      <c r="B67" s="43" t="s">
        <v>466</v>
      </c>
      <c r="C67" s="56">
        <f>VLOOKUP(A3,Data!A1:AQ88,29,FALSE)</f>
        <v>4.6199999999999998E-2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0.65210000000000001</v>
      </c>
      <c r="E74" s="23"/>
      <c r="F74" s="23"/>
      <c r="G74" s="23"/>
      <c r="H74" s="23"/>
      <c r="I74" s="23"/>
      <c r="J74" s="23"/>
    </row>
    <row r="75" spans="1:10" ht="11.25" customHeight="1" x14ac:dyDescent="0.2">
      <c r="A75" s="19"/>
      <c r="B75" s="43" t="s">
        <v>466</v>
      </c>
      <c r="C75" s="56">
        <f>VLOOKUP(A3,Data!A1:AQ88,32,FALSE)</f>
        <v>0.60970000000000002</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7.9899999999999999E-2</v>
      </c>
      <c r="E90" s="23"/>
      <c r="F90" s="23"/>
      <c r="G90" s="23"/>
      <c r="H90" s="23"/>
      <c r="I90" s="23"/>
      <c r="J90" s="23"/>
    </row>
    <row r="91" spans="1:10" ht="11.25" customHeight="1" x14ac:dyDescent="0.2">
      <c r="A91" s="19"/>
      <c r="B91" s="43" t="s">
        <v>466</v>
      </c>
      <c r="C91" s="56">
        <f>VLOOKUP(A3,Data!A1:AQ88,38,FALSE)</f>
        <v>9.7500000000000003E-2</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0.13800000000000001</v>
      </c>
      <c r="E98" s="23"/>
      <c r="F98" s="23"/>
      <c r="G98" s="23"/>
      <c r="H98" s="23"/>
      <c r="I98" s="23"/>
      <c r="J98" s="23"/>
    </row>
    <row r="99" spans="1:10" ht="11.25" customHeight="1" x14ac:dyDescent="0.2">
      <c r="A99" s="19"/>
      <c r="B99" s="43" t="s">
        <v>466</v>
      </c>
      <c r="C99" s="56">
        <f>VLOOKUP(A3,Data!A1:AQ88,41,FALSE)</f>
        <v>0.25700000000000001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8</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16</v>
      </c>
      <c r="B104" s="99">
        <f>B101</f>
        <v>8</v>
      </c>
      <c r="C104" s="63">
        <f>VLOOKUP(A3,Data!A1:AQ88,42,FALSE)</f>
        <v>1</v>
      </c>
      <c r="D104" s="99">
        <f>SUM(A104:C104)</f>
        <v>25</v>
      </c>
      <c r="E104" s="63">
        <f>VLOOKUP(A3,Data!A1:AQ88,43,FALSE)</f>
        <v>40</v>
      </c>
      <c r="F104" s="33">
        <f>D104/E104</f>
        <v>0.625</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9FWK1pjiW+p6r+bPcgjMO5Ivuy6bAL+5DZDlOPFgQruzRPnclDMBXZk7GYhVDyWvwq9zGalQCQ3X4ymAyYeCLw==" saltValue="qCM3wGxoSfSr9prMtxpwW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2023-09-06T13:28:36Z</dcterms:modified>
</cp:coreProperties>
</file>