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47172E11-EC5B-4833-AE5B-57C22EAEBF95}" xr6:coauthVersionLast="47" xr6:coauthVersionMax="47" xr10:uidLastSave="{00000000-0000-0000-0000-000000000000}"/>
  <workbookProtection workbookAlgorithmName="SHA-512" workbookHashValue="JkgAcsu/nKG7zoIXySXC831YRsjx8ryXeQvoV3vnXO+2jLL4DVGdWUkvlzTgwymnrhNpLTawLx6uspkSJ7pgpw==" workbookSaltValue="XfRSZ9ZcqNKCy3RmD9U8Aw=="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<sst xmlns="http://schemas.openxmlformats.org/spreadsheetml/2006/main" count="2581" uniqueCount="605">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</sst>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0.53059999999999996</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0.8387</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0.56459999999999999</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0.93220000000000003</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0.56440000000000001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0.68030000000000002</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0.9617</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0.97707736389684796</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0.94656488549618301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0.25</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0.98239436619718301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0.93893129770992401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0.96284829721362197</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0.200607902735562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7.2649572649572697E-2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0.543396226415094</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0.198170731707317</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3.0172413793103401E-2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0.27272727272727298</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0.41666666666666702</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0.21190000000000001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0.14285714285714299</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0.16666666666666699</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0.14285714285714299</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0.214285714285714</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0.35467822723533998</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0.42453616843860698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0.33457595842115501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0.298672396024592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0.285641757957248</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0.161</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0.29058902483093302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0.74080000000000001</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0.1024</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0.99070000000000003</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0.25419999999999998</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0.71189999999999998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0.7288</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0.2147</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0.53990000000000005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5.4000000000000003E-3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0.97421203438395398</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0.1804</c:v>
                </c:pt>
                <c:pt idx="3">
                  <c:v>0.2082</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9.9000000000000008E-3</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0.53990000000000005</c:v>
                </c:pt>
                <c:pt idx="3">
                  <c:v>0.61360000000000003</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0.16769999999999999</c:v>
                </c:pt>
                <c:pt idx="3">
                  <c:v>0.1971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0.72799999999999998</c:v>
                </c:pt>
                <c:pt idx="3">
                  <c:v>0.74080000000000001</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9.2899999999999996E-2</c:v>
                </c:pt>
                <c:pt idx="3">
                  <c:v>0.105</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0.27100000000000002</c:v>
                </c:pt>
                <c:pt idx="3">
                  <c:v>0.38500000000000001</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0.1085</c:v>
                </c:pt>
                <c:pt idx="3">
                  <c:v>7.6600000000000001E-2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5.4300000000000001E-2</c:v>
                </c:pt>
                <c:pt idx="3">
                  <c:v>3.6600000000000001E-2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0.81820000000000004</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70</v>
      </c>
      <c r="B3" s="36"/>
      <c r="C3" s="36"/>
      <c r="D3" s="36"/>
      <c r="E3" s="36"/>
      <c r="F3" s="36"/>
      <c r="G3" s="36"/>
      <c r="H3" s="36"/>
      <c r="I3" s="36"/>
      <c r="J3" s="36"/>
      <c r="K3" s="36"/>
      <c r="L3" s="36"/>
      <c r="M3" s="36"/>
      <c r="N3" s="36"/>
      <c r="O3" s="10"/>
    </row>
    <row r="4" spans="1:20" s="9" customFormat="1" ht="11.25" x14ac:dyDescent="0.2">
      <c r="A4" s="9" t="str">
        <f>+VLOOKUP(A3,'Old Data'!A1:CM88,2,FALSE)</f>
        <v>111 Tarrar Springs Road Building 3, Suites D and E</v>
      </c>
      <c r="C4" s="12"/>
      <c r="E4" s="12"/>
      <c r="F4" s="12"/>
    </row>
    <row r="5" spans="1:20" s="9" customFormat="1" ht="11.25" x14ac:dyDescent="0.2">
      <c r="A5" s="9" t="str">
        <f>+VLOOKUP(A3,'Old Data'!A1:CM88,3,FALSE)</f>
        <v>Lexington</v>
      </c>
      <c r="C5" s="12"/>
      <c r="E5" s="12"/>
      <c r="F5" s="12"/>
      <c r="G5" s="12" t="str">
        <f>+VLOOKUP(A3,'Old Data'!A1:CM88,4,FALSE)</f>
        <v>SC</v>
      </c>
      <c r="H5" s="12"/>
      <c r="I5" s="12">
        <f>+VLOOKUP(A3,'Old Data'!A1:CM88,5,FALSE)</f>
        <v>29072</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0.53990000000000005</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0.2147</v>
      </c>
      <c r="H15" s="66" t="s">
        <v>1</v>
      </c>
      <c r="I15" s="11" t="str">
        <f>IF(OR(G15="NA",G15="**"),"NA",IF(G15&gt;C15,"Not Met","Met"))</f>
        <v>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0.97707736389684796</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0.94656488549618301</v>
      </c>
      <c r="H22" s="66" t="s">
        <v>1</v>
      </c>
      <c r="I22" s="11" t="str">
        <f>IF(OR(G22="NA",G22="**"),"NA",IF(G22&lt;C22,"Not Met","Met"))</f>
        <v>Not 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0.98239436619718301</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0.97421203438395398</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0.93893129770992401</v>
      </c>
      <c r="H31" s="66" t="s">
        <v>1</v>
      </c>
      <c r="I31" s="11" t="str">
        <f>IF(OR(G31="NA",G31="**"),"NA",IF(G31&lt;C31,"Not Met","Met"))</f>
        <v>Not 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0.96284829721362197</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0.200607902735562</v>
      </c>
      <c r="H37" s="66" t="s">
        <v>1</v>
      </c>
      <c r="I37" s="11" t="str">
        <f>IF(OR(G37="NA",G37="**"),"NA",IF(G37&lt;C37,"Not Met","Met"))</f>
        <v>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7.2649572649572697E-2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0.543396226415094</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0.198170731707317</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3.0172413793103401E-2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0.27272727272727298</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0.41666666666666702</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0.14285714285714299</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0.5</v>
      </c>
      <c r="H61" s="66" t="s">
        <v>1</v>
      </c>
      <c r="I61" s="11" t="str">
        <f>IF(OR(G61="NA",G61="**"),"NA",IF(G61&lt;C61,"Not Met","Met"))</f>
        <v>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0.16666666666666699</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0.14285714285714299</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0.214285714285714</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0.35467822723533998</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0.42453616843860698</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0.33457595842115501</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0.298672396024592</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0.285641757957248</v>
      </c>
      <c r="H85" s="66" t="s">
        <v>1</v>
      </c>
      <c r="I85" s="11" t="str">
        <f>IF(OR(G85="NA",G85="**"),"NA",IF(G85&gt;C85,"Not Met","Met"))</f>
        <v>Not 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0.29058902483093302</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0.74080000000000001</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0.1024</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5.4000000000000003E-3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v>
      </c>
      <c r="H109" s="66" t="s">
        <v>1</v>
      </c>
      <c r="I109" s="11" t="str">
        <f>IF(OR(G109="NA",G109="**"),"NA",IF(G109&lt;C109,"Not Met","Met"))</f>
        <v>Not 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0.56440000000000001</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0.25</v>
      </c>
      <c r="H115" s="66" t="s">
        <v>1</v>
      </c>
      <c r="I115" s="11" t="str">
        <f t="shared" si="3"/>
        <v>Not 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0.21190000000000001</v>
      </c>
      <c r="H118" s="66" t="s">
        <v>1</v>
      </c>
      <c r="I118" s="11" t="str">
        <f>IF(OR(G118="NA",G118="**"),"NA",IF(G118&gt;C118,"Not Met","Met"))</f>
        <v>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0.161</v>
      </c>
      <c r="H121" s="66" t="s">
        <v>1</v>
      </c>
      <c r="I121" s="11" t="str">
        <f>IF(OR(G121="NA",G121="**"),"NA",IF(G121&gt;C121,"Not Met","Met"))</f>
        <v>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9.9000000000000008E-3</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f>VLOOKUP(A3,'Old Data'!A1:CM88,74,FALSE)</f>
        <v>0</v>
      </c>
      <c r="H133" s="66" t="s">
        <v>1</v>
      </c>
      <c r="I133" s="11" t="str">
        <f>IF(OR(G133="NA",G133="**"),"NA",IF(G133&gt;C133,"Not Met","Met"))</f>
        <v>Met</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0.81820000000000004</v>
      </c>
      <c r="H138" s="66" t="s">
        <v>1</v>
      </c>
      <c r="I138" s="11" t="str">
        <f t="shared" si="3"/>
        <v>Not 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0.53059999999999996</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0.8387</v>
      </c>
      <c r="H146" s="66" t="s">
        <v>1</v>
      </c>
      <c r="I146" s="11" t="str">
        <f t="shared" si="3"/>
        <v>Not 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0.56459999999999999</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0.93220000000000003</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0.68030000000000002</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0.9617</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0.99070000000000003</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0.25419999999999998</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0.71189999999999998</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0.7288</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TESWCQasbcEQuzRqq1pAkBU6t2/VHUgUCcndI6wKqUJzXPxW9lTPJNJ1dPrUFWrgiFhc8WTFEzCMWsR+mUcAhg==" saltValue="wtH3j3lSWx+H3RfUZeXArg=="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70</v>
      </c>
      <c r="B3" s="36"/>
      <c r="C3" s="36"/>
      <c r="D3" s="36"/>
      <c r="E3" s="36"/>
      <c r="F3" s="36"/>
      <c r="G3" s="36"/>
      <c r="H3" s="10"/>
      <c r="I3" s="10"/>
      <c r="J3" s="10"/>
    </row>
    <row r="4" spans="1:10" x14ac:dyDescent="0.2">
      <c r="A4" s="9" t="str">
        <f>VLOOKUP(A3,Data!A1:AQ88,2,FALSE)</f>
        <v>111 Tarrar Springs Road Building 3, Suites D and E</v>
      </c>
    </row>
    <row r="5" spans="1:10" x14ac:dyDescent="0.2">
      <c r="A5" s="9" t="str">
        <f>VLOOKUP(A3,Data!A1:AQ88,3,FALSE)</f>
        <v>Lexington</v>
      </c>
      <c r="C5" s="12" t="str">
        <f>VLOOKUP(A3,Data!A1:AQ88,4,FALSE)</f>
        <v>SC</v>
      </c>
      <c r="D5" s="12">
        <f>VLOOKUP(A3,Data!A1:AQ88,5,FALSE)</f>
        <v>29072</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2</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prior year’s state performance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0.53990000000000005</v>
      </c>
      <c r="E34" s="23"/>
      <c r="F34" s="23"/>
      <c r="G34" s="23"/>
      <c r="H34" s="23"/>
      <c r="I34" s="23"/>
      <c r="J34" s="23"/>
    </row>
    <row r="35" spans="1:10" ht="11.25" customHeight="1" x14ac:dyDescent="0.2">
      <c r="A35" s="19"/>
      <c r="B35" s="43" t="s">
        <v>466</v>
      </c>
      <c r="C35" s="56">
        <f>VLOOKUP(A3,Data!A1:AQ88,17,FALSE)</f>
        <v>0.61360000000000003</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prior year’s state performance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0.1804</v>
      </c>
      <c r="E42" s="23"/>
      <c r="F42" s="23"/>
      <c r="G42" s="23"/>
      <c r="H42" s="23"/>
      <c r="I42" s="23"/>
      <c r="J42" s="23"/>
    </row>
    <row r="43" spans="1:10" ht="11.25" customHeight="1" x14ac:dyDescent="0.2">
      <c r="A43" s="19"/>
      <c r="B43" s="43" t="s">
        <v>466</v>
      </c>
      <c r="C43" s="56">
        <f>VLOOKUP(A3,Data!A1:AQ88,20,FALSE)</f>
        <v>0.2082</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and did not improve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0.1085</v>
      </c>
      <c r="E50" s="23"/>
      <c r="F50" s="23"/>
      <c r="G50" s="23"/>
      <c r="H50" s="23"/>
      <c r="I50" s="23"/>
      <c r="J50" s="23"/>
    </row>
    <row r="51" spans="1:10" ht="11.25" customHeight="1" x14ac:dyDescent="0.2">
      <c r="A51" s="19"/>
      <c r="B51" s="43" t="s">
        <v>466</v>
      </c>
      <c r="C51" s="56">
        <f>VLOOKUP(A3,Data!A1:AQ88,23,FALSE)</f>
        <v>7.6600000000000001E-2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but improved since last year</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0.16769999999999999</v>
      </c>
      <c r="E58" s="23"/>
      <c r="F58" s="23"/>
      <c r="G58" s="23"/>
      <c r="H58" s="23"/>
      <c r="I58" s="23"/>
      <c r="J58" s="23"/>
    </row>
    <row r="59" spans="1:10" ht="11.25" customHeight="1" x14ac:dyDescent="0.2">
      <c r="A59" s="19"/>
      <c r="B59" s="43" t="s">
        <v>466</v>
      </c>
      <c r="C59" s="56">
        <f>VLOOKUP(A3,Data!A1:AQ88,26,FALSE)</f>
        <v>0.1971</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5.4300000000000001E-2</v>
      </c>
      <c r="E66" s="23"/>
      <c r="F66" s="23"/>
      <c r="G66" s="23"/>
      <c r="H66" s="23"/>
      <c r="I66" s="23"/>
      <c r="J66" s="23"/>
    </row>
    <row r="67" spans="1:10" ht="11.25" customHeight="1" x14ac:dyDescent="0.2">
      <c r="A67" s="19"/>
      <c r="B67" s="43" t="s">
        <v>466</v>
      </c>
      <c r="C67" s="56">
        <f>VLOOKUP(A3,Data!A1:AQ88,29,FALSE)</f>
        <v>3.6600000000000001E-2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3</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current state target</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0.72799999999999998</v>
      </c>
      <c r="E74" s="23"/>
      <c r="F74" s="23"/>
      <c r="G74" s="23"/>
      <c r="H74" s="23"/>
      <c r="I74" s="23"/>
      <c r="J74" s="23"/>
    </row>
    <row r="75" spans="1:10" ht="11.25" customHeight="1" x14ac:dyDescent="0.2">
      <c r="A75" s="19"/>
      <c r="B75" s="43" t="s">
        <v>466</v>
      </c>
      <c r="C75" s="56">
        <f>VLOOKUP(A3,Data!A1:AQ88,32,FALSE)</f>
        <v>0.74080000000000001</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2</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prior year’s state performance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9.2899999999999996E-2</v>
      </c>
      <c r="E90" s="23"/>
      <c r="F90" s="23"/>
      <c r="G90" s="23"/>
      <c r="H90" s="23"/>
      <c r="I90" s="23"/>
      <c r="J90" s="23"/>
    </row>
    <row r="91" spans="1:10" ht="11.25" customHeight="1" x14ac:dyDescent="0.2">
      <c r="A91" s="19"/>
      <c r="B91" s="43" t="s">
        <v>466</v>
      </c>
      <c r="C91" s="56">
        <f>VLOOKUP(A3,Data!A1:AQ88,38,FALSE)</f>
        <v>0.105</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2</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prior year’s state performance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0.27100000000000002</v>
      </c>
      <c r="E98" s="23"/>
      <c r="F98" s="23"/>
      <c r="G98" s="23"/>
      <c r="H98" s="23"/>
      <c r="I98" s="23"/>
      <c r="J98" s="23"/>
    </row>
    <row r="99" spans="1:10" ht="11.25" customHeight="1" x14ac:dyDescent="0.2">
      <c r="A99" s="19"/>
      <c r="B99" s="43" t="s">
        <v>466</v>
      </c>
      <c r="C99" s="56">
        <f>VLOOKUP(A3,Data!A1:AQ88,41,FALSE)</f>
        <v>0.38500000000000001</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13.5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13.5</v>
      </c>
      <c r="C104" s="63">
        <f>VLOOKUP(A3,Data!A1:AQ88,42,FALSE)</f>
        <v>1</v>
      </c>
      <c r="D104" s="99">
        <f>SUM(A104:C104)</f>
        <v>31.5</v>
      </c>
      <c r="E104" s="63">
        <f>VLOOKUP(A3,Data!A1:AQ88,43,FALSE)</f>
        <v>40</v>
      </c>
      <c r="F104" s="33">
        <f>D104/E104</f>
        <v>0.78749999999999998</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UeWVnKFcZkZ0RUgj1oLVS+yzmEUxkjEzxutlf4//iMHYbvVqcP/YJ/ReZKsWX+wzTh4ikcISlREC+EHgCC7Bw==" saltValue="ISRMO23GhTBHTsQY5zxu4w=="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2023-09-06T13:28:39Z</dcterms:modified>
</cp:coreProperties>
</file>