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601C6084-FFBD-4963-BA8B-6E7B0CAF0BC7}" xr6:coauthVersionLast="47" xr6:coauthVersionMax="47" xr10:uidLastSave="{00000000-0000-0000-0000-000000000000}"/>
  <workbookProtection workbookAlgorithmName="SHA-512" workbookHashValue="h/Ilnu3xXGypIBw0Prw91AauHihDk9K5ax5wFnMjmv3iiWZBkKuoRCtRrHR1W61Q0ODB/q+rS9jnuqV3e3dgWQ==" workbookSaltValue="bHIAtJsG6oMZxEDFurtQ2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<sst xmlns="http://schemas.openxmlformats.org/spreadsheetml/2006/main" count="2581" uniqueCount="605">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</sst>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0.13639999999999999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0.38240000000000002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0.89690000000000003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0.32350000000000001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0.89900000000000002</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0.59089999999999998</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0.52939999999999998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0.99305555555555602</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0.98198198198198205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0.4</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0.87878787878787901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0.98198198198198205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0.92134831460674205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0.18181818181818199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2.8846153846153799E-2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0.39024390243902402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0.16541353383458601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8.6538461538461495E-2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0.27272727272727298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0.36363636363636398</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0.43240000000000001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0.4</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0.8</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0.36363636363636398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0.6</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0.234848484848485</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0.31202865761689302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0.40808943089430899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0.19618646616541399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0.187971342383107</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0.45950000000000002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0.19463565155471199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0.65429999999999999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0.1232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9.0899999999999995E-2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0.69089999999999996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3.1199999999999999E-2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0.1197</c:v>
                </c:pt>
                <c:pt idx="3">
                  <c:v>0.1958</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9.0899999999999995E-2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0.69089999999999996</c:v>
                </c:pt>
                <c:pt idx="3">
                  <c:v>0.61109999999999998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0.15379999999999999</c:v>
                </c:pt>
                <c:pt idx="3">
                  <c:v>0.18060000000000001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0.66</c:v>
                </c:pt>
                <c:pt idx="3">
                  <c:v>0.65429999999999999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0.1148</c:v>
                </c:pt>
                <c:pt idx="3">
                  <c:v>0.1981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5.8999999999999997E-2</c:v>
                </c:pt>
                <c:pt idx="3">
                  <c:v>0.17299999999999999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4.2000000000000003E-2</c:v>
                </c:pt>
                <c:pt idx="3">
                  <c:v>4.5900000000000003E-2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4.24E-2</c:v>
                </c:pt>
                <c:pt idx="3">
                  <c:v>0.1193</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0.86140000000000005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71</v>
      </c>
      <c r="B3" s="36"/>
      <c r="C3" s="36"/>
      <c r="D3" s="36"/>
      <c r="E3" s="36"/>
      <c r="F3" s="36"/>
      <c r="G3" s="36"/>
      <c r="H3" s="36"/>
      <c r="I3" s="36"/>
      <c r="J3" s="36"/>
      <c r="K3" s="36"/>
      <c r="L3" s="36"/>
      <c r="M3" s="36"/>
      <c r="N3" s="36"/>
      <c r="O3" s="10"/>
    </row>
    <row r="4" spans="1:20" s="9" customFormat="1" ht="11.25" x14ac:dyDescent="0.2">
      <c r="A4" s="9" t="str">
        <f>+VLOOKUP(A3,'Old Data'!A1:CM88,2,FALSE)</f>
        <v>715 9th Street</v>
      </c>
      <c r="C4" s="12"/>
      <c r="E4" s="12"/>
      <c r="F4" s="12"/>
    </row>
    <row r="5" spans="1:20" s="9" customFormat="1" ht="11.25" x14ac:dyDescent="0.2">
      <c r="A5" s="9" t="str">
        <f>+VLOOKUP(A3,'Old Data'!A1:CM88,3,FALSE)</f>
        <v>West Columbia</v>
      </c>
      <c r="C5" s="12"/>
      <c r="E5" s="12"/>
      <c r="F5" s="12"/>
      <c r="G5" s="12" t="str">
        <f>+VLOOKUP(A3,'Old Data'!A1:CM88,4,FALSE)</f>
        <v>SC</v>
      </c>
      <c r="H5" s="12"/>
      <c r="I5" s="12">
        <f>+VLOOKUP(A3,'Old Data'!A1:CM88,5,FALSE)</f>
        <v>29169</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0.69089999999999996</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9.0899999999999995E-2</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0.99305555555555602</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0.98198198198198205</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0.87878787878787901</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0.98198198198198205</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0.92134831460674205</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0.18181818181818199</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2.8846153846153799E-2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0.39024390243902402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0.16541353383458601</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8.6538461538461495E-2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0.27272727272727298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0.36363636363636398</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0.4</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0.8</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0.36363636363636398</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0.8</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0.6</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0.234848484848485</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0.31202865761689302</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0.40808943089430899</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0.19618646616541399</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0.187971342383107</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0.19463565155471199</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Yes</v>
      </c>
      <c r="H95" s="66" t="s">
        <v>1</v>
      </c>
      <c r="I95" s="11" t="str">
        <f>IF(OR(G95="NA",G95="**"),"NA",IF(G95="No","Met",IF(G95="Yes","Not Met")))</f>
        <v>Not 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0.65429999999999999</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0.1232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3.1199999999999999E-2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0.13639999999999999</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0.59089999999999998</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0.4</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0.43240000000000001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0.45950000000000002</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9.0899999999999995E-2</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0.86140000000000005</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0.38240000000000002</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0.89690000000000003</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0.32350000000000001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0.89900000000000002</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0.52939999999999998</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PXk5GUsam3w5CqqBirx//6dnu7JFVVJbiUaXS84jCicmUgDuiQf3dIMZwu8vFbfJznjMIAb5otEmvIzYG7F2Xg==" saltValue="TuyWSPLyf7hXizz7YJAUu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71</v>
      </c>
      <c r="B3" s="36"/>
      <c r="C3" s="36"/>
      <c r="D3" s="36"/>
      <c r="E3" s="36"/>
      <c r="F3" s="36"/>
      <c r="G3" s="36"/>
      <c r="H3" s="10"/>
      <c r="I3" s="10"/>
      <c r="J3" s="10"/>
    </row>
    <row r="4" spans="1:10" x14ac:dyDescent="0.2">
      <c r="A4" s="9" t="str">
        <f>VLOOKUP(A3,Data!A1:AQ88,2,FALSE)</f>
        <v>715 9th Street</v>
      </c>
    </row>
    <row r="5" spans="1:10" x14ac:dyDescent="0.2">
      <c r="A5" s="9" t="str">
        <f>VLOOKUP(A3,Data!A1:AQ88,3,FALSE)</f>
        <v>West Columbia</v>
      </c>
      <c r="C5" s="12" t="str">
        <f>VLOOKUP(A3,Data!A1:AQ88,4,FALSE)</f>
        <v>SC</v>
      </c>
      <c r="D5" s="12">
        <f>VLOOKUP(A3,Data!A1:AQ88,5,FALSE)</f>
        <v>29169</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1</v>
      </c>
      <c r="C22" s="95" t="str">
        <f>IF(B22=0,"2 or more consecutive years of findings of non-compliance (current year and previous year(s))",
IF(B22=1,"Findings of non-compliance in the current year",
IF(B22=2,"No findings of non-compliance","")))</f>
        <v>Findings of non-compliance in the current year</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0.69089999999999996</v>
      </c>
      <c r="E34" s="23"/>
      <c r="F34" s="23"/>
      <c r="G34" s="23"/>
      <c r="H34" s="23"/>
      <c r="I34" s="23"/>
      <c r="J34" s="23"/>
    </row>
    <row r="35" spans="1:10" ht="11.25" customHeight="1" x14ac:dyDescent="0.2">
      <c r="A35" s="19"/>
      <c r="B35" s="43" t="s">
        <v>466</v>
      </c>
      <c r="C35" s="56">
        <f>VLOOKUP(A3,Data!A1:AQ88,17,FALSE)</f>
        <v>0.61109999999999998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0.1197</v>
      </c>
      <c r="E42" s="23"/>
      <c r="F42" s="23"/>
      <c r="G42" s="23"/>
      <c r="H42" s="23"/>
      <c r="I42" s="23"/>
      <c r="J42" s="23"/>
    </row>
    <row r="43" spans="1:10" ht="11.25" customHeight="1" x14ac:dyDescent="0.2">
      <c r="A43" s="19"/>
      <c r="B43" s="43" t="s">
        <v>466</v>
      </c>
      <c r="C43" s="56">
        <f>VLOOKUP(A3,Data!A1:AQ88,20,FALSE)</f>
        <v>0.1958</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4.2000000000000003E-2</v>
      </c>
      <c r="E50" s="23"/>
      <c r="F50" s="23"/>
      <c r="G50" s="23"/>
      <c r="H50" s="23"/>
      <c r="I50" s="23"/>
      <c r="J50" s="23"/>
    </row>
    <row r="51" spans="1:10" ht="11.25" customHeight="1" x14ac:dyDescent="0.2">
      <c r="A51" s="19"/>
      <c r="B51" s="43" t="s">
        <v>466</v>
      </c>
      <c r="C51" s="56">
        <f>VLOOKUP(A3,Data!A1:AQ88,23,FALSE)</f>
        <v>4.5900000000000003E-2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0.15379999999999999</v>
      </c>
      <c r="E58" s="23"/>
      <c r="F58" s="23"/>
      <c r="G58" s="23"/>
      <c r="H58" s="23"/>
      <c r="I58" s="23"/>
      <c r="J58" s="23"/>
    </row>
    <row r="59" spans="1:10" ht="11.25" customHeight="1" x14ac:dyDescent="0.2">
      <c r="A59" s="19"/>
      <c r="B59" s="43" t="s">
        <v>466</v>
      </c>
      <c r="C59" s="56">
        <f>VLOOKUP(A3,Data!A1:AQ88,26,FALSE)</f>
        <v>0.18060000000000001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4.24E-2</v>
      </c>
      <c r="E66" s="23"/>
      <c r="F66" s="23"/>
      <c r="G66" s="23"/>
      <c r="H66" s="23"/>
      <c r="I66" s="23"/>
      <c r="J66" s="23"/>
    </row>
    <row r="67" spans="1:10" ht="11.25" customHeight="1" x14ac:dyDescent="0.2">
      <c r="A67" s="19"/>
      <c r="B67" s="43" t="s">
        <v>466</v>
      </c>
      <c r="C67" s="56">
        <f>VLOOKUP(A3,Data!A1:AQ88,29,FALSE)</f>
        <v>0.1193</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0.66</v>
      </c>
      <c r="E74" s="23"/>
      <c r="F74" s="23"/>
      <c r="G74" s="23"/>
      <c r="H74" s="23"/>
      <c r="I74" s="23"/>
      <c r="J74" s="23"/>
    </row>
    <row r="75" spans="1:10" ht="11.25" customHeight="1" x14ac:dyDescent="0.2">
      <c r="A75" s="19"/>
      <c r="B75" s="43" t="s">
        <v>466</v>
      </c>
      <c r="C75" s="56">
        <f>VLOOKUP(A3,Data!A1:AQ88,32,FALSE)</f>
        <v>0.65429999999999999</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0.1148</v>
      </c>
      <c r="E90" s="23"/>
      <c r="F90" s="23"/>
      <c r="G90" s="23"/>
      <c r="H90" s="23"/>
      <c r="I90" s="23"/>
      <c r="J90" s="23"/>
    </row>
    <row r="91" spans="1:10" ht="11.25" customHeight="1" x14ac:dyDescent="0.2">
      <c r="A91" s="19"/>
      <c r="B91" s="43" t="s">
        <v>466</v>
      </c>
      <c r="C91" s="56">
        <f>VLOOKUP(A3,Data!A1:AQ88,38,FALSE)</f>
        <v>0.1981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5.8999999999999997E-2</v>
      </c>
      <c r="E98" s="23"/>
      <c r="F98" s="23"/>
      <c r="G98" s="23"/>
      <c r="H98" s="23"/>
      <c r="I98" s="23"/>
      <c r="J98" s="23"/>
    </row>
    <row r="99" spans="1:10" ht="11.25" customHeight="1" x14ac:dyDescent="0.2">
      <c r="A99" s="19"/>
      <c r="B99" s="43" t="s">
        <v>466</v>
      </c>
      <c r="C99" s="56">
        <f>VLOOKUP(A3,Data!A1:AQ88,41,FALSE)</f>
        <v>0.17299999999999999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11.5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11.5</v>
      </c>
      <c r="C104" s="63">
        <f>VLOOKUP(A3,Data!A1:AQ88,42,FALSE)</f>
        <v>1</v>
      </c>
      <c r="D104" s="99">
        <f>SUM(A104:C104)</f>
        <v>29.5</v>
      </c>
      <c r="E104" s="63">
        <f>VLOOKUP(A3,Data!A1:AQ88,43,FALSE)</f>
        <v>40</v>
      </c>
      <c r="F104" s="33">
        <f>D104/E104</f>
        <v>0.73750000000000004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BbcILv72XD2pMJNBKy8qMbianz/fsGVo1oeE33qsH8Z/kfUyLumm6n99Y+Ncl4j1qidhxx+QdkP8alRLzNGJuw==" saltValue="Bn7tdpTi0QOPjIidUR1MO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2023-09-06T13:28:41Z</dcterms:modified>
</cp:coreProperties>
</file>