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49E820D6-DCEB-4A10-97A6-429FD16E36DA}" xr6:coauthVersionLast="47" xr6:coauthVersionMax="47" xr10:uidLastSave="{00000000-0000-0000-0000-000000000000}"/>
  <workbookProtection workbookAlgorithmName="SHA-512" workbookHashValue="gLNUpnMFyWsyVj6BE/XqCClbp6LN1O50auwNL8A2pLqaglwD8p5IBfs0CVFiGEKvvkJDkkjkplewRIspYrE1Ww==" workbookSaltValue="LJuyHpzqztqhMlLa7d1Wz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<sst xmlns="http://schemas.openxmlformats.org/spreadsheetml/2006/main" count="2581" uniqueCount="605">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</sst>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0.18179999999999999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0.59150000000000003</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0.88519999999999999</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0.50700000000000001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0.96079999999999999</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0.45450000000000002</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0.73240000000000005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0.98360655737704905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0.96</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0.33329999999999999</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0.97435897435897401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0.93877551020408201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0.91428571428571404</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5.0847457627118599E-2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0.17142857142857101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3.3898305084745797E-2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0.13793103448275901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0.21740000000000001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0.16402857543073299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0.25390625</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0.47330827067669201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0.127258719708643</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9.0909090909090898E-2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8.6999999999999994E-2</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0.24873563218390801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0.75470000000000004</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0.1724</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7.7999999999999996E-3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0.98360655737704905</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4.5499999999999999E-2</c:v>
                </c:pt>
                <c:pt idx="3">
                  <c:v>6.6699999999999995E-2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0.64</c:v>
                </c:pt>
                <c:pt idx="3">
                  <c:v>0.43590000000000001</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c:v>
                </c:pt>
                <c:pt idx="3">
                  <c:v>0.05</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0.6895</c:v>
                </c:pt>
                <c:pt idx="3">
                  <c:v>0.75470000000000004</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0.15290000000000001</c:v>
                </c:pt>
                <c:pt idx="3">
                  <c:v>0.1424</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0.17899999999999999</c:v>
                </c:pt>
                <c:pt idx="3">
                  <c:v>5.8999999999999997E-2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3.85E-2</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0.93220000000000003</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73</v>
      </c>
      <c r="B3" s="36"/>
      <c r="C3" s="36"/>
      <c r="D3" s="36"/>
      <c r="E3" s="36"/>
      <c r="F3" s="36"/>
      <c r="G3" s="36"/>
      <c r="H3" s="36"/>
      <c r="I3" s="36"/>
      <c r="J3" s="36"/>
      <c r="K3" s="36"/>
      <c r="L3" s="36"/>
      <c r="M3" s="36"/>
      <c r="N3" s="36"/>
      <c r="O3" s="10"/>
    </row>
    <row r="4" spans="1:20" s="9" customFormat="1" ht="11.25" x14ac:dyDescent="0.2">
      <c r="A4" s="9" t="str">
        <f>+VLOOKUP(A3,'Old Data'!A1:CM88,2,FALSE)</f>
        <v>607 East Fifth Street</v>
      </c>
      <c r="C4" s="12"/>
      <c r="E4" s="12"/>
      <c r="F4" s="12"/>
    </row>
    <row r="5" spans="1:20" s="9" customFormat="1" ht="11.25" x14ac:dyDescent="0.2">
      <c r="A5" s="9" t="str">
        <f>+VLOOKUP(A3,'Old Data'!A1:CM88,3,FALSE)</f>
        <v>Swansea</v>
      </c>
      <c r="C5" s="12"/>
      <c r="E5" s="12"/>
      <c r="F5" s="12"/>
      <c r="G5" s="12" t="str">
        <f>+VLOOKUP(A3,'Old Data'!A1:CM88,4,FALSE)</f>
        <v>SC</v>
      </c>
      <c r="H5" s="12"/>
      <c r="I5" s="12">
        <f>+VLOOKUP(A3,'Old Data'!A1:CM88,5,FALSE)</f>
        <v>29160</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0.64</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0.32</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0.98360655737704905</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0.96</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0.97435897435897401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0.98360655737704905</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0.93877551020408201</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0.91428571428571404</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5.0847457627118599E-2</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0.17142857142857101</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3.3898305084745797E-2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0.13793103448275901</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1</v>
      </c>
      <c r="H55" s="66" t="s">
        <v>1</v>
      </c>
      <c r="I55" s="11" t="str">
        <f>IF(OR(G55="NA",G55="**"),"NA",IF(G55&lt;C55,"Not Met","Met"))</f>
        <v>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1</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0.16402857543073299</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0.25390625</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0.47330827067669201</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0.127258719708643</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9.0909090909090898E-2</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0.24873563218390801</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Yes</v>
      </c>
      <c r="H92" s="66" t="s">
        <v>1</v>
      </c>
      <c r="I92" s="11" t="str">
        <f t="shared" ref="I92" si="1">IF(OR(G92="NA",G92="**"),"NA",IF(G92="No","Met",IF(G92="Yes","Not Met")))</f>
        <v>Not 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Yes</v>
      </c>
      <c r="H95" s="66" t="s">
        <v>1</v>
      </c>
      <c r="I95" s="11" t="str">
        <f>IF(OR(G95="NA",G95="**"),"NA",IF(G95="No","Met",IF(G95="Yes","Not Met")))</f>
        <v>Not 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0.75470000000000004</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0.1724</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7.7999999999999996E-3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0.18179999999999999</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0.45450000000000002</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0.33329999999999999</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0.21740000000000001</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8.6999999999999994E-2</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0.93220000000000003</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0.59150000000000003</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0.88519999999999999</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0.50700000000000001</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0.96079999999999999</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0.73240000000000005</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1</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1</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bQ8J6CISgcOYfZHZxccq8LOYegJdKDg/m6QkGAlD/0bDc9X4T8/eucnd7S6tgRTocmTWCmNm6ojfTzDhTWEvkQ==" saltValue="zU99YYm3+HbitsgTMcxf4g=="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73</v>
      </c>
      <c r="B3" s="36"/>
      <c r="C3" s="36"/>
      <c r="D3" s="36"/>
      <c r="E3" s="36"/>
      <c r="F3" s="36"/>
      <c r="G3" s="36"/>
      <c r="H3" s="10"/>
      <c r="I3" s="10"/>
      <c r="J3" s="10"/>
    </row>
    <row r="4" spans="1:10" x14ac:dyDescent="0.2">
      <c r="A4" s="9" t="str">
        <f>VLOOKUP(A3,Data!A1:AQ88,2,FALSE)</f>
        <v>607 East Fifth Street</v>
      </c>
    </row>
    <row r="5" spans="1:10" x14ac:dyDescent="0.2">
      <c r="A5" s="9" t="str">
        <f>VLOOKUP(A3,Data!A1:AQ88,3,FALSE)</f>
        <v>Swansea</v>
      </c>
      <c r="C5" s="12" t="str">
        <f>VLOOKUP(A3,Data!A1:AQ88,4,FALSE)</f>
        <v>SC</v>
      </c>
      <c r="D5" s="12">
        <f>VLOOKUP(A3,Data!A1:AQ88,5,FALSE)</f>
        <v>29160</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1</v>
      </c>
      <c r="C22" s="95" t="str">
        <f>IF(B22=0,"2 or more consecutive years of findings of non-compliance (current year and previous year(s))",
IF(B22=1,"Findings of non-compliance in the current year",
IF(B22=2,"No findings of non-compliance","")))</f>
        <v>Findings of non-compliance in the current year</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0.64</v>
      </c>
      <c r="E34" s="23"/>
      <c r="F34" s="23"/>
      <c r="G34" s="23"/>
      <c r="H34" s="23"/>
      <c r="I34" s="23"/>
      <c r="J34" s="23"/>
    </row>
    <row r="35" spans="1:10" ht="11.25" customHeight="1" x14ac:dyDescent="0.2">
      <c r="A35" s="19"/>
      <c r="B35" s="43" t="s">
        <v>466</v>
      </c>
      <c r="C35" s="56">
        <f>VLOOKUP(A3,Data!A1:AQ88,17,FALSE)</f>
        <v>0.43590000000000001</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4.5499999999999999E-2</v>
      </c>
      <c r="E42" s="23"/>
      <c r="F42" s="23"/>
      <c r="G42" s="23"/>
      <c r="H42" s="23"/>
      <c r="I42" s="23"/>
      <c r="J42" s="23"/>
    </row>
    <row r="43" spans="1:10" ht="11.25" customHeight="1" x14ac:dyDescent="0.2">
      <c r="A43" s="19"/>
      <c r="B43" s="43" t="s">
        <v>466</v>
      </c>
      <c r="C43" s="56">
        <f>VLOOKUP(A3,Data!A1:AQ88,20,FALSE)</f>
        <v>6.6699999999999995E-2</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3.85E-2</v>
      </c>
      <c r="E50" s="23"/>
      <c r="F50" s="23"/>
      <c r="G50" s="23"/>
      <c r="H50" s="23"/>
      <c r="I50" s="23"/>
      <c r="J50" s="23"/>
    </row>
    <row r="51" spans="1:10" ht="11.25" customHeight="1" x14ac:dyDescent="0.2">
      <c r="A51" s="19"/>
      <c r="B51" s="43" t="s">
        <v>466</v>
      </c>
      <c r="C51" s="56">
        <f>VLOOKUP(A3,Data!A1:AQ88,23,FALSE)</f>
        <v>0</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v>
      </c>
      <c r="E58" s="23"/>
      <c r="F58" s="23"/>
      <c r="G58" s="23"/>
      <c r="H58" s="23"/>
      <c r="I58" s="23"/>
      <c r="J58" s="23"/>
    </row>
    <row r="59" spans="1:10" ht="11.25" customHeight="1" x14ac:dyDescent="0.2">
      <c r="A59" s="19"/>
      <c r="B59" s="43" t="s">
        <v>466</v>
      </c>
      <c r="C59" s="56">
        <f>VLOOKUP(A3,Data!A1:AQ88,26,FALSE)</f>
        <v>0.05</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v>
      </c>
      <c r="E66" s="23"/>
      <c r="F66" s="23"/>
      <c r="G66" s="23"/>
      <c r="H66" s="23"/>
      <c r="I66" s="23"/>
      <c r="J66" s="23"/>
    </row>
    <row r="67" spans="1:10" ht="11.25" customHeight="1" x14ac:dyDescent="0.2">
      <c r="A67" s="19"/>
      <c r="B67" s="43" t="s">
        <v>466</v>
      </c>
      <c r="C67" s="56">
        <f>VLOOKUP(A3,Data!A1:AQ88,29,FALSE)</f>
        <v>0</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0.6895</v>
      </c>
      <c r="E74" s="23"/>
      <c r="F74" s="23"/>
      <c r="G74" s="23"/>
      <c r="H74" s="23"/>
      <c r="I74" s="23"/>
      <c r="J74" s="23"/>
    </row>
    <row r="75" spans="1:10" ht="11.25" customHeight="1" x14ac:dyDescent="0.2">
      <c r="A75" s="19"/>
      <c r="B75" s="43" t="s">
        <v>466</v>
      </c>
      <c r="C75" s="56">
        <f>VLOOKUP(A3,Data!A1:AQ88,32,FALSE)</f>
        <v>0.75470000000000004</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0.15290000000000001</v>
      </c>
      <c r="E90" s="23"/>
      <c r="F90" s="23"/>
      <c r="G90" s="23"/>
      <c r="H90" s="23"/>
      <c r="I90" s="23"/>
      <c r="J90" s="23"/>
    </row>
    <row r="91" spans="1:10" ht="11.25" customHeight="1" x14ac:dyDescent="0.2">
      <c r="A91" s="19"/>
      <c r="B91" s="43" t="s">
        <v>466</v>
      </c>
      <c r="C91" s="56">
        <f>VLOOKUP(A3,Data!A1:AQ88,38,FALSE)</f>
        <v>0.1424</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0</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and did not improve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0.17899999999999999</v>
      </c>
      <c r="E98" s="23"/>
      <c r="F98" s="23"/>
      <c r="G98" s="23"/>
      <c r="H98" s="23"/>
      <c r="I98" s="23"/>
      <c r="J98" s="23"/>
    </row>
    <row r="99" spans="1:10" ht="11.25" customHeight="1" x14ac:dyDescent="0.2">
      <c r="A99" s="19"/>
      <c r="B99" s="43" t="s">
        <v>466</v>
      </c>
      <c r="C99" s="56">
        <f>VLOOKUP(A3,Data!A1:AQ88,41,FALSE)</f>
        <v>5.8999999999999997E-2</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9</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9</v>
      </c>
      <c r="C104" s="63">
        <f>VLOOKUP(A3,Data!A1:AQ88,42,FALSE)</f>
        <v>1</v>
      </c>
      <c r="D104" s="99">
        <f>SUM(A104:C104)</f>
        <v>27</v>
      </c>
      <c r="E104" s="63">
        <f>VLOOKUP(A3,Data!A1:AQ88,43,FALSE)</f>
        <v>40</v>
      </c>
      <c r="F104" s="33">
        <f>D104/E104</f>
        <v>0.67500000000000004</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gOHclXNe54gwDefYA4vRA9spwRlIsJLgC2RxSbaxvzml90JPbX2izNuViay2o/vTbeU93Ni2VkZ44dfZy97Eeg==" saltValue="YuYijoJtjiKeDPYYhPGps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2023-09-06T13:28:43Z</dcterms:modified>
</cp:coreProperties>
</file>