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0A116C12-DD0C-4340-9992-99794B129CF1}" xr6:coauthVersionLast="47" xr6:coauthVersionMax="47" xr10:uidLastSave="{00000000-0000-0000-0000-000000000000}"/>
  <workbookProtection workbookAlgorithmName="SHA-512" workbookHashValue="1ePc1cY1+2i9DBeWL1OxlhjH6P0fiVhG7HBcHHdc5sgsIaHbP3PUVdkLdzbwaTsRhCCHLmP3NQJLm422vVOpXQ==" workbookSaltValue="g7JIMrKy1P8FOZ+pBD32k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<sst xmlns="http://schemas.openxmlformats.org/spreadsheetml/2006/main" count="2581" uniqueCount="605">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</sst>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0.83330000000000004</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0.3846</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0.78259999999999996</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0.30769999999999997</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0.46150000000000002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0.97777777777777797</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0.96428571428571397</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1</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0.96</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0.96428571428571397</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0.96491228070175405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0.05</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0.28888888888888897</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0.05</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0.16666666666666699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0.6875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0.25</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0.66666666666666696</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0.193727598566308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0.200636942675159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0.44601043997017198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0.104121863799283</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9.5846645367412095E-2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0.21527777777777801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0.66169999999999995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0.1139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0.1111</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0.44440000000000002</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0.55559999999999998</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0.4909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0.43640000000000001</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9.9000000000000008E-3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0.97777777777777797</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8.77E-2</c:v>
                </c:pt>
                <c:pt idx="3">
                  <c:v>4.5499999999999999E-2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0.16669999999999999</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0.43640000000000001</c:v>
                </c:pt>
                <c:pt idx="3">
                  <c:v>0.42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0.05</c:v>
                </c:pt>
                <c:pt idx="3">
                  <c:v>9.0899999999999995E-2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0.68659999999999999</c:v>
                </c:pt>
                <c:pt idx="3">
                  <c:v>0.66169999999999995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8.7599999999999997E-2</c:v>
                </c:pt>
                <c:pt idx="3">
                  <c:v>0.29949999999999999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0.13100000000000001</c:v>
                </c:pt>
                <c:pt idx="3">
                  <c:v>0.21199999999999999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7.6899999999999996E-2</c:v>
                </c:pt>
                <c:pt idx="3">
                  <c:v>1.8499999999999999E-2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2.7E-2</c:v>
                </c:pt>
                <c:pt idx="3">
                  <c:v>3.6999999999999998E-2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0.76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75</v>
      </c>
      <c r="B3" s="36"/>
      <c r="C3" s="36"/>
      <c r="D3" s="36"/>
      <c r="E3" s="36"/>
      <c r="F3" s="36"/>
      <c r="G3" s="36"/>
      <c r="H3" s="36"/>
      <c r="I3" s="36"/>
      <c r="J3" s="36"/>
      <c r="K3" s="36"/>
      <c r="L3" s="36"/>
      <c r="M3" s="36"/>
      <c r="N3" s="36"/>
      <c r="O3" s="10"/>
    </row>
    <row r="4" spans="1:20" s="9" customFormat="1" ht="11.25" x14ac:dyDescent="0.2">
      <c r="A4" s="9" t="str">
        <f>+VLOOKUP(A3,'Old Data'!A1:CM88,2,FALSE)</f>
        <v>719 North Main Street</v>
      </c>
      <c r="C4" s="12"/>
      <c r="E4" s="12"/>
      <c r="F4" s="12"/>
    </row>
    <row r="5" spans="1:20" s="9" customFormat="1" ht="11.25" x14ac:dyDescent="0.2">
      <c r="A5" s="9" t="str">
        <f>+VLOOKUP(A3,'Old Data'!A1:CM88,3,FALSE)</f>
        <v>Marion</v>
      </c>
      <c r="C5" s="12"/>
      <c r="E5" s="12"/>
      <c r="F5" s="12"/>
      <c r="G5" s="12" t="str">
        <f>+VLOOKUP(A3,'Old Data'!A1:CM88,4,FALSE)</f>
        <v>NC</v>
      </c>
      <c r="H5" s="12"/>
      <c r="I5" s="12">
        <f>+VLOOKUP(A3,'Old Data'!A1:CM88,5,FALSE)</f>
        <v>29571</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0.43640000000000001</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0.4909</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0.97777777777777797</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0.96428571428571397</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0.96</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0.97777777777777797</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0.96428571428571397</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0.96491228070175405</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0.05</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0.28888888888888897</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0.05</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0.16666666666666699</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0.25</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0.66666666666666696</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0.5</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0.5</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0.193727598566308</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0.200636942675159</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0.44601043997017198</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0.104121863799283</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9.5846645367412095E-2</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0.21527777777777801</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0.66169999999999995</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0.1139</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9.9000000000000008E-3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0.83330000000000004</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1</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0.6875</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0.16669999999999999</v>
      </c>
      <c r="H127" s="66" t="s">
        <v>1</v>
      </c>
      <c r="I127" s="11" t="str">
        <f>IF(OR(G127="NA",G127="**"),"NA",IF(G127&gt;C127,"Not Met","Met"))</f>
        <v>Not 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0.76</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0.3846</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0.78259999999999996</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0.30769999999999997</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0.46150000000000002</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0.1111</v>
      </c>
      <c r="H189" s="66" t="s">
        <v>1</v>
      </c>
      <c r="I189" s="11" t="str">
        <f t="shared" ref="I189" si="6">IF(OR(G189="NA",G189="**"),"NA",IF(G189&lt;C189,"Not Met","Met"))</f>
        <v>Not 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0.44440000000000002</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0.55559999999999998</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UR9dESLgIUOhfXCCaKjY/Y5WCivwfxipg2TyBYMR+srdSbP4PZPBs7cZ4Y8MiOOz76KHcXnYC5VnPnpawtUUVA==" saltValue="+/5/zIIkpyjkVWadSzUG1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75</v>
      </c>
      <c r="B3" s="36"/>
      <c r="C3" s="36"/>
      <c r="D3" s="36"/>
      <c r="E3" s="36"/>
      <c r="F3" s="36"/>
      <c r="G3" s="36"/>
      <c r="H3" s="10"/>
      <c r="I3" s="10"/>
      <c r="J3" s="10"/>
    </row>
    <row r="4" spans="1:10" x14ac:dyDescent="0.2">
      <c r="A4" s="9" t="str">
        <f>VLOOKUP(A3,Data!A1:AQ88,2,FALSE)</f>
        <v>719 North Main Street</v>
      </c>
    </row>
    <row r="5" spans="1:10" x14ac:dyDescent="0.2">
      <c r="A5" s="9" t="str">
        <f>VLOOKUP(A3,Data!A1:AQ88,3,FALSE)</f>
        <v>Marion</v>
      </c>
      <c r="C5" s="12" t="str">
        <f>VLOOKUP(A3,Data!A1:AQ88,4,FALSE)</f>
        <v>NC</v>
      </c>
      <c r="D5" s="12">
        <f>VLOOKUP(A3,Data!A1:AQ88,5,FALSE)</f>
        <v>29571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1</v>
      </c>
      <c r="C14" s="94" t="str">
        <f>IF(B14=0,"2 or more consecutive years of findings of non-compliance (current year and previous year(s))",
IF(B14=1,"Findings of non-compliance in the current year",
IF(B14=2,"No findings of non-compliance","")))</f>
        <v>Findings of non-compliance in the current year</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0.43640000000000001</v>
      </c>
      <c r="E34" s="23"/>
      <c r="F34" s="23"/>
      <c r="G34" s="23"/>
      <c r="H34" s="23"/>
      <c r="I34" s="23"/>
      <c r="J34" s="23"/>
    </row>
    <row r="35" spans="1:10" ht="11.25" customHeight="1" x14ac:dyDescent="0.2">
      <c r="A35" s="19"/>
      <c r="B35" s="43" t="s">
        <v>466</v>
      </c>
      <c r="C35" s="56">
        <f>VLOOKUP(A3,Data!A1:AQ88,17,FALSE)</f>
        <v>0.42</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8.77E-2</v>
      </c>
      <c r="E42" s="23"/>
      <c r="F42" s="23"/>
      <c r="G42" s="23"/>
      <c r="H42" s="23"/>
      <c r="I42" s="23"/>
      <c r="J42" s="23"/>
    </row>
    <row r="43" spans="1:10" ht="11.25" customHeight="1" x14ac:dyDescent="0.2">
      <c r="A43" s="19"/>
      <c r="B43" s="43" t="s">
        <v>466</v>
      </c>
      <c r="C43" s="56">
        <f>VLOOKUP(A3,Data!A1:AQ88,20,FALSE)</f>
        <v>4.5499999999999999E-2</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7.6899999999999996E-2</v>
      </c>
      <c r="E50" s="23"/>
      <c r="F50" s="23"/>
      <c r="G50" s="23"/>
      <c r="H50" s="23"/>
      <c r="I50" s="23"/>
      <c r="J50" s="23"/>
    </row>
    <row r="51" spans="1:10" ht="11.25" customHeight="1" x14ac:dyDescent="0.2">
      <c r="A51" s="19"/>
      <c r="B51" s="43" t="s">
        <v>466</v>
      </c>
      <c r="C51" s="56">
        <f>VLOOKUP(A3,Data!A1:AQ88,23,FALSE)</f>
        <v>1.8499999999999999E-2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0.05</v>
      </c>
      <c r="E58" s="23"/>
      <c r="F58" s="23"/>
      <c r="G58" s="23"/>
      <c r="H58" s="23"/>
      <c r="I58" s="23"/>
      <c r="J58" s="23"/>
    </row>
    <row r="59" spans="1:10" ht="11.25" customHeight="1" x14ac:dyDescent="0.2">
      <c r="A59" s="19"/>
      <c r="B59" s="43" t="s">
        <v>466</v>
      </c>
      <c r="C59" s="56">
        <f>VLOOKUP(A3,Data!A1:AQ88,26,FALSE)</f>
        <v>9.0899999999999995E-2</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but improved since last year</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2.7E-2</v>
      </c>
      <c r="E66" s="23"/>
      <c r="F66" s="23"/>
      <c r="G66" s="23"/>
      <c r="H66" s="23"/>
      <c r="I66" s="23"/>
      <c r="J66" s="23"/>
    </row>
    <row r="67" spans="1:10" ht="11.25" customHeight="1" x14ac:dyDescent="0.2">
      <c r="A67" s="19"/>
      <c r="B67" s="43" t="s">
        <v>466</v>
      </c>
      <c r="C67" s="56">
        <f>VLOOKUP(A3,Data!A1:AQ88,29,FALSE)</f>
        <v>3.6999999999999998E-2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0.68659999999999999</v>
      </c>
      <c r="E74" s="23"/>
      <c r="F74" s="23"/>
      <c r="G74" s="23"/>
      <c r="H74" s="23"/>
      <c r="I74" s="23"/>
      <c r="J74" s="23"/>
    </row>
    <row r="75" spans="1:10" ht="11.25" customHeight="1" x14ac:dyDescent="0.2">
      <c r="A75" s="19"/>
      <c r="B75" s="43" t="s">
        <v>466</v>
      </c>
      <c r="C75" s="56">
        <f>VLOOKUP(A3,Data!A1:AQ88,32,FALSE)</f>
        <v>0.66169999999999995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8.7599999999999997E-2</v>
      </c>
      <c r="E90" s="23"/>
      <c r="F90" s="23"/>
      <c r="G90" s="23"/>
      <c r="H90" s="23"/>
      <c r="I90" s="23"/>
      <c r="J90" s="23"/>
    </row>
    <row r="91" spans="1:10" ht="11.25" customHeight="1" x14ac:dyDescent="0.2">
      <c r="A91" s="19"/>
      <c r="B91" s="43" t="s">
        <v>466</v>
      </c>
      <c r="C91" s="56">
        <f>VLOOKUP(A3,Data!A1:AQ88,38,FALSE)</f>
        <v>0.29949999999999999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0.13100000000000001</v>
      </c>
      <c r="E98" s="23"/>
      <c r="F98" s="23"/>
      <c r="G98" s="23"/>
      <c r="H98" s="23"/>
      <c r="I98" s="23"/>
      <c r="J98" s="23"/>
    </row>
    <row r="99" spans="1:10" ht="11.25" customHeight="1" x14ac:dyDescent="0.2">
      <c r="A99" s="19"/>
      <c r="B99" s="43" t="s">
        <v>466</v>
      </c>
      <c r="C99" s="56">
        <f>VLOOKUP(A3,Data!A1:AQ88,41,FALSE)</f>
        <v>0.21199999999999999</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7</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7</v>
      </c>
      <c r="C104" s="63">
        <f>VLOOKUP(A3,Data!A1:AQ88,42,FALSE)</f>
        <v>1</v>
      </c>
      <c r="D104" s="99">
        <f>SUM(A104:C104)</f>
        <v>25</v>
      </c>
      <c r="E104" s="63">
        <f>VLOOKUP(A3,Data!A1:AQ88,43,FALSE)</f>
        <v>40</v>
      </c>
      <c r="F104" s="33">
        <f>D104/E104</f>
        <v>0.625</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IAfZ3jRd5aDk2xPnWsgWOwBKDdlQxXXP3rc6UYlUxAyHmvPFh5t3tJrX+Iscjx2YNkyG8JGGDW+yXSwxRMOzhQ==" saltValue="DY4kMboW+D0ci216LxgqE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2023-09-06T13:28:45Z</dcterms:modified>
</cp:coreProperties>
</file>