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FA5E8D2B-1057-401C-ACEF-D17DE9F5D0C6}" xr6:coauthVersionLast="47" xr6:coauthVersionMax="47" xr10:uidLastSave="{00000000-0000-0000-0000-000000000000}"/>
  <workbookProtection workbookAlgorithmName="SHA-512" workbookHashValue="DIxgPXHS7bVnps3SW0q9PZqicLNC9xqG2zFLRooPZmz7+qk96wqfD4EQdHjI8tElbQjsHWkK8pgDHOxIqOS2Wg==" workbookSaltValue="WYMstuFr0YdJ2ol9MWUB2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<sst xmlns="http://schemas.openxmlformats.org/spreadsheetml/2006/main" count="2581" uniqueCount="605">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</sst>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0.90909090909090895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0.92857142857142905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0.28571428571428598</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0.6</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0.28571428571428598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-3.5714285714285698E-2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0.17647058823529399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0.22258064516129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-0.17857142857142899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4.4117647058823498E-2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0.54290000000000005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0.4</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9.0899999999999995E-2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0.90910000000000002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0.5</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0.18179999999999999</c:v>
                </c:pt>
                <c:pt idx="3">
                  <c:v>0.28570000000000001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0.90910000000000002</c:v>
                </c:pt>
                <c:pt idx="3">
                  <c:v>0.8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c:v>
                </c:pt>
                <c:pt idx="3">
                  <c:v>0.28570000000000001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0.63249999999999995</c:v>
                </c:pt>
                <c:pt idx="3">
                  <c:v>0.54290000000000005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0.1026</c:v>
                </c:pt>
                <c:pt idx="3">
                  <c:v>0.19439999999999999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0.27300000000000002</c:v>
                </c:pt>
                <c:pt idx="3">
                  <c:v>0</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c:v>
                </c:pt>
                <c:pt idx="3">
                  <c:v>0</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3.0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8.3299999999999999E-2</c:v>
                </c:pt>
                <c:pt idx="3">
                  <c:v>0</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0.5</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77</v>
      </c>
      <c r="B3" s="36"/>
      <c r="C3" s="36"/>
      <c r="D3" s="36"/>
      <c r="E3" s="36"/>
      <c r="F3" s="36"/>
      <c r="G3" s="36"/>
      <c r="H3" s="36"/>
      <c r="I3" s="36"/>
      <c r="J3" s="36"/>
      <c r="K3" s="36"/>
      <c r="L3" s="36"/>
      <c r="M3" s="36"/>
      <c r="N3" s="36"/>
      <c r="O3" s="10"/>
    </row>
    <row r="4" spans="1:20" s="9" customFormat="1" ht="11.25" x14ac:dyDescent="0.2">
      <c r="A4" s="9" t="str">
        <f>+VLOOKUP(A3,'Old Data'!A1:CM88,2,FALSE)</f>
        <v>821 N. Mine Street</v>
      </c>
      <c r="C4" s="12"/>
      <c r="E4" s="12"/>
      <c r="F4" s="12"/>
    </row>
    <row r="5" spans="1:20" s="9" customFormat="1" ht="11.25" x14ac:dyDescent="0.2">
      <c r="A5" s="9" t="str">
        <f>+VLOOKUP(A3,'Old Data'!A1:CM88,3,FALSE)</f>
        <v>McCormick</v>
      </c>
      <c r="C5" s="12"/>
      <c r="E5" s="12"/>
      <c r="F5" s="12"/>
      <c r="G5" s="12" t="str">
        <f>+VLOOKUP(A3,'Old Data'!A1:CM88,4,FALSE)</f>
        <v>SC</v>
      </c>
      <c r="H5" s="12"/>
      <c r="I5" s="12">
        <f>+VLOOKUP(A3,'Old Data'!A1:CM88,5,FALSE)</f>
        <v>29835</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0.90910000000000002</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9.0899999999999995E-2</v>
      </c>
      <c r="H15" s="66" t="s">
        <v>1</v>
      </c>
      <c r="I15" s="11" t="str">
        <f>IF(OR(G15="NA",G15="**"),"NA",IF(G15&gt;C15,"Not Met","Met"))</f>
        <v>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0.90909090909090895</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1</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0.92857142857142905</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0.28571428571428598</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0.6</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0.28571428571428598</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t="str">
        <f>VLOOKUP(A3,'Old Data'!A1:CM88,49,FALSE)</f>
        <v>NA</v>
      </c>
      <c r="H55" s="66" t="s">
        <v>1</v>
      </c>
      <c r="I55" s="11" t="str">
        <f>IF(OR(G55="NA",G55="**"),"NA",IF(G55&lt;C55,"Not Met","Met"))</f>
        <v>NA</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t="str">
        <f>VLOOKUP(A3,'Old Data'!A1:CM88,52,FALSE)</f>
        <v>NA</v>
      </c>
      <c r="H64" s="66" t="s">
        <v>1</v>
      </c>
      <c r="I64" s="11" t="str">
        <f>IF(OR(G64="NA",G64="**"),"NA",IF(G64&lt;C64,"Not Met","Met"))</f>
        <v>NA</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t="str">
        <f>VLOOKUP(A3,'Old Data'!A1:CM88,54,FALSE)</f>
        <v>NA</v>
      </c>
      <c r="H70" s="66" t="s">
        <v>1</v>
      </c>
      <c r="I70" s="11" t="str">
        <f>IF(OR(G70="NA",G70="**"),"NA",IF(G70&lt;C70,"Not Met","Met"))</f>
        <v>NA</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-3.5714285714285698E-2</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0.17647058823529399</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0.22258064516129</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-0.17857142857142899</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4.4117647058823498E-2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0.54290000000000005</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0.2</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1</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t="str">
        <f>VLOOKUP(A3,'Old Data'!A1:CM88,67,FALSE)</f>
        <v>NA</v>
      </c>
      <c r="H112" s="66" t="s">
        <v>1</v>
      </c>
      <c r="I112" s="11" t="str">
        <f t="shared" ref="I112:I180" si="3">IF(OR(G112="NA",G112="**"),"NA",IF(G112&lt;C112,"Not Met","Met"))</f>
        <v>NA</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t="str">
        <f>VLOOKUP(A3,'Old Data'!A1:CM88,68,FALSE)</f>
        <v>NA</v>
      </c>
      <c r="H115" s="66" t="s">
        <v>1</v>
      </c>
      <c r="I115" s="11" t="str">
        <f t="shared" si="3"/>
        <v>NA</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t="str">
        <f>VLOOKUP(A3,'Old Data'!A1:CM88,70,FALSE)</f>
        <v>NA</v>
      </c>
      <c r="H121" s="66" t="s">
        <v>1</v>
      </c>
      <c r="I121" s="11" t="str">
        <f>IF(OR(G121="NA",G121="**"),"NA",IF(G121&gt;C121,"Not Met","Met"))</f>
        <v>NA</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0.5</v>
      </c>
      <c r="H124" s="66" t="s">
        <v>1</v>
      </c>
      <c r="I124" s="11" t="str">
        <f>IF(OR(G124="NA",G124="**"),"NA",IF(G124&gt;C124,"Not Met","Met"))</f>
        <v>Not 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t="str">
        <f>VLOOKUP(A3,'Old Data'!A1:CM88,72,FALSE)</f>
        <v>NA</v>
      </c>
      <c r="H127" s="66" t="s">
        <v>1</v>
      </c>
      <c r="I127" s="11" t="str">
        <f>IF(OR(G127="NA",G127="**"),"NA",IF(G127&gt;C127,"Not Met","Met"))</f>
        <v>NA</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0.5</v>
      </c>
      <c r="H130" s="66" t="s">
        <v>1</v>
      </c>
      <c r="I130" s="11" t="str">
        <f>IF(OR(G130="NA",G130="**"),"NA",IF(G130&gt;C130,"Not Met","Met"))</f>
        <v>Not 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1</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1</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1</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1</v>
      </c>
      <c r="H175" s="66" t="s">
        <v>1</v>
      </c>
      <c r="I175" s="11" t="str">
        <f>IF(OR(G175="NA",G175="**"),"NA",IF(G175&lt;C175,"Not Met","Met"))</f>
        <v>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0.4</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0.8</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1</v>
      </c>
      <c r="H197" s="66" t="s">
        <v>1</v>
      </c>
      <c r="I197" s="11" t="str">
        <f t="shared" ref="I197" si="7">IF(OR(G197="NA",G197="**"),"NA",IF(G197&lt;C197,"Not Met","Met"))</f>
        <v>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mpRnt+ROBuphDeZizfBBHKV656SqCJRJJq/XYa7L8ouvR2HVfobsMWhSSouM0WjlhZOcFCE6do+sjMZqLjnBwQ==" saltValue="4qyGVoqRgPQaf1mtcvnza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77</v>
      </c>
      <c r="B3" s="36"/>
      <c r="C3" s="36"/>
      <c r="D3" s="36"/>
      <c r="E3" s="36"/>
      <c r="F3" s="36"/>
      <c r="G3" s="36"/>
      <c r="H3" s="10"/>
      <c r="I3" s="10"/>
      <c r="J3" s="10"/>
    </row>
    <row r="4" spans="1:10" x14ac:dyDescent="0.2">
      <c r="A4" s="9" t="str">
        <f>VLOOKUP(A3,Data!A1:AQ88,2,FALSE)</f>
        <v>821 N. Mine Street</v>
      </c>
    </row>
    <row r="5" spans="1:10" x14ac:dyDescent="0.2">
      <c r="A5" s="9" t="str">
        <f>VLOOKUP(A3,Data!A1:AQ88,3,FALSE)</f>
        <v>McCormick</v>
      </c>
      <c r="C5" s="12" t="str">
        <f>VLOOKUP(A3,Data!A1:AQ88,4,FALSE)</f>
        <v>SC</v>
      </c>
      <c r="D5" s="12">
        <f>VLOOKUP(A3,Data!A1:AQ88,5,FALSE)</f>
        <v>29835</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1</v>
      </c>
      <c r="C14" s="94" t="str">
        <f>IF(B14=0,"2 or more consecutive years of findings of non-compliance (current year and previous year(s))",
IF(B14=1,"Findings of non-compliance in the current year",
IF(B14=2,"No findings of non-compliance","")))</f>
        <v>Findings of non-compliance in the current year</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2</v>
      </c>
      <c r="C18" s="92" t="str">
        <f>IF(B18=0,"2 or more consecutive years of findings of non-compliance (current year and previous year(s))",
IF(B18=1,"Findings of non-compliance in the current year",
IF(B18=2,"No findings of non-compliance","")))</f>
        <v>No findings of non-compliance</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3</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current state target</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0.90910000000000002</v>
      </c>
      <c r="E34" s="23"/>
      <c r="F34" s="23"/>
      <c r="G34" s="23"/>
      <c r="H34" s="23"/>
      <c r="I34" s="23"/>
      <c r="J34" s="23"/>
    </row>
    <row r="35" spans="1:10" ht="11.25" customHeight="1" x14ac:dyDescent="0.2">
      <c r="A35" s="19"/>
      <c r="B35" s="43" t="s">
        <v>466</v>
      </c>
      <c r="C35" s="56">
        <f>VLOOKUP(A3,Data!A1:AQ88,17,FALSE)</f>
        <v>0.8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0.18179999999999999</v>
      </c>
      <c r="E42" s="23"/>
      <c r="F42" s="23"/>
      <c r="G42" s="23"/>
      <c r="H42" s="23"/>
      <c r="I42" s="23"/>
      <c r="J42" s="23"/>
    </row>
    <row r="43" spans="1:10" ht="11.25" customHeight="1" x14ac:dyDescent="0.2">
      <c r="A43" s="19"/>
      <c r="B43" s="43" t="s">
        <v>466</v>
      </c>
      <c r="C43" s="56">
        <f>VLOOKUP(A3,Data!A1:AQ88,20,FALSE)</f>
        <v>0.28570000000000001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0</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Does not meet prior year’s state performance and did not improve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v>
      </c>
      <c r="E50" s="23"/>
      <c r="F50" s="23"/>
      <c r="G50" s="23"/>
      <c r="H50" s="23"/>
      <c r="I50" s="23"/>
      <c r="J50" s="23"/>
    </row>
    <row r="51" spans="1:10" ht="11.25" customHeight="1" x14ac:dyDescent="0.2">
      <c r="A51" s="19"/>
      <c r="B51" s="43" t="s">
        <v>466</v>
      </c>
      <c r="C51" s="56">
        <f>VLOOKUP(A3,Data!A1:AQ88,23,FALSE)</f>
        <v>0</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v>
      </c>
      <c r="E58" s="23"/>
      <c r="F58" s="23"/>
      <c r="G58" s="23"/>
      <c r="H58" s="23"/>
      <c r="I58" s="23"/>
      <c r="J58" s="23"/>
    </row>
    <row r="59" spans="1:10" ht="11.25" customHeight="1" x14ac:dyDescent="0.2">
      <c r="A59" s="19"/>
      <c r="B59" s="43" t="s">
        <v>466</v>
      </c>
      <c r="C59" s="56">
        <f>VLOOKUP(A3,Data!A1:AQ88,26,FALSE)</f>
        <v>0.28570000000000001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8.3299999999999999E-2</v>
      </c>
      <c r="E66" s="23"/>
      <c r="F66" s="23"/>
      <c r="G66" s="23"/>
      <c r="H66" s="23"/>
      <c r="I66" s="23"/>
      <c r="J66" s="23"/>
    </row>
    <row r="67" spans="1:10" ht="11.25" customHeight="1" x14ac:dyDescent="0.2">
      <c r="A67" s="19"/>
      <c r="B67" s="43" t="s">
        <v>466</v>
      </c>
      <c r="C67" s="56">
        <f>VLOOKUP(A3,Data!A1:AQ88,29,FALSE)</f>
        <v>0</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0.63249999999999995</v>
      </c>
      <c r="E74" s="23"/>
      <c r="F74" s="23"/>
      <c r="G74" s="23"/>
      <c r="H74" s="23"/>
      <c r="I74" s="23"/>
      <c r="J74" s="23"/>
    </row>
    <row r="75" spans="1:10" ht="11.25" customHeight="1" x14ac:dyDescent="0.2">
      <c r="A75" s="19"/>
      <c r="B75" s="43" t="s">
        <v>466</v>
      </c>
      <c r="C75" s="56">
        <f>VLOOKUP(A3,Data!A1:AQ88,32,FALSE)</f>
        <v>0.54290000000000005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0.1026</v>
      </c>
      <c r="E90" s="23"/>
      <c r="F90" s="23"/>
      <c r="G90" s="23"/>
      <c r="H90" s="23"/>
      <c r="I90" s="23"/>
      <c r="J90" s="23"/>
    </row>
    <row r="91" spans="1:10" ht="11.25" customHeight="1" x14ac:dyDescent="0.2">
      <c r="A91" s="19"/>
      <c r="B91" s="43" t="s">
        <v>466</v>
      </c>
      <c r="C91" s="56">
        <f>VLOOKUP(A3,Data!A1:AQ88,38,FALSE)</f>
        <v>0.19439999999999999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0.27300000000000002</v>
      </c>
      <c r="E98" s="23"/>
      <c r="F98" s="23"/>
      <c r="G98" s="23"/>
      <c r="H98" s="23"/>
      <c r="I98" s="23"/>
      <c r="J98" s="23"/>
    </row>
    <row r="99" spans="1:10" ht="11.25" customHeight="1" x14ac:dyDescent="0.2">
      <c r="A99" s="19"/>
      <c r="B99" s="43" t="s">
        <v>466</v>
      </c>
      <c r="C99" s="56">
        <f>VLOOKUP(A3,Data!A1:AQ88,41,FALSE)</f>
        <v>0</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9</v>
      </c>
      <c r="C104" s="63">
        <f>VLOOKUP(A3,Data!A1:AQ88,42,FALSE)</f>
        <v>1</v>
      </c>
      <c r="D104" s="99">
        <f>SUM(A104:C104)</f>
        <v>27</v>
      </c>
      <c r="E104" s="63">
        <f>VLOOKUP(A3,Data!A1:AQ88,43,FALSE)</f>
        <v>40</v>
      </c>
      <c r="F104" s="33">
        <f>D104/E104</f>
        <v>0.67500000000000004</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gkXe6VTWzbyvY+HP8yr1UxuKj4yAqMugo2yrRf5NzNmbdeKsxVtdyQLnxI9p1pQ+vsvrP2I7h1Phfb3u1P6nvA==" saltValue="TGbFqjIlPj6aowptpEqw6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2023-09-06T13:28:48Z</dcterms:modified>
</cp:coreProperties>
</file>