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B6774FA9-1404-4E91-9A3B-525E24C10248}" xr6:coauthVersionLast="47" xr6:coauthVersionMax="47" xr10:uidLastSave="{00000000-0000-0000-0000-000000000000}"/>
  <workbookProtection workbookAlgorithmName="SHA-512" workbookHashValue="0wA0se+yrWyPsQrKe1lkYDRmq5Fj+Gt9VbIoIVfK3lCUFR4qPVZ1ES4/GMHr97/on874Gzroo6rx475BG6owlg==" workbookSaltValue="m79fBB+p0qx+thclgYdbm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<sst xmlns="http://schemas.openxmlformats.org/spreadsheetml/2006/main" count="2581" uniqueCount="605">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</sst>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0.8</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0.58140000000000003</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0.89470000000000005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0.4884</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0.9677</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0.2</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0.6744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0.98245614035087703</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0.4</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0.97368421052631604</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0.95121951219512202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0.13207547169811301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0.55555555555555602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9.4339622641509399E-2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2.7777777777777801E-2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0.31578947368421101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0.42859999999999998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0.33333333333333298</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0.266401685662293</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0.37316561844863699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0.28590785907859101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0.235609615937171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0.211215932914046</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0.28570000000000001</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0.356829573934837</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0.70309999999999995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0.1905</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9.0899999999999995E-2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0.63639999999999997</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0.72729999999999995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0.71879999999999999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0.125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9.5200000000000007E-2</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1.12E-2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0.98245614035087703</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0.1905</c:v>
                </c:pt>
                <c:pt idx="3">
                  <c:v>0.125</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0.125</c:v>
                </c:pt>
                <c:pt idx="3">
                  <c:v>0</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0.23530000000000001</c:v>
                </c:pt>
                <c:pt idx="3">
                  <c:v>0.1071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0.72699999999999998</c:v>
                </c:pt>
                <c:pt idx="3">
                  <c:v>0.70309999999999995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9.0499999999999997E-2</c:v>
                </c:pt>
                <c:pt idx="3">
                  <c:v>0.157</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0.14299999999999999</c:v>
                </c:pt>
                <c:pt idx="3">
                  <c:v>0.17899999999999999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4.7600000000000003E-2</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6.9800000000000001E-2</c:v>
                </c:pt>
                <c:pt idx="3">
                  <c:v>2.7E-2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9.5200000000000007E-2</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0.88570000000000004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78</v>
      </c>
      <c r="B3" s="36"/>
      <c r="C3" s="36"/>
      <c r="D3" s="36"/>
      <c r="E3" s="36"/>
      <c r="F3" s="36"/>
      <c r="G3" s="36"/>
      <c r="H3" s="36"/>
      <c r="I3" s="36"/>
      <c r="J3" s="36"/>
      <c r="K3" s="36"/>
      <c r="L3" s="36"/>
      <c r="M3" s="36"/>
      <c r="N3" s="36"/>
      <c r="O3" s="10"/>
    </row>
    <row r="4" spans="1:20" s="9" customFormat="1" ht="11.25" x14ac:dyDescent="0.2">
      <c r="A4" s="9" t="str">
        <f>+VLOOKUP(A3,'Old Data'!A1:CM88,2,FALSE)</f>
        <v>P. O. Box 718</v>
      </c>
      <c r="C4" s="12"/>
      <c r="E4" s="12"/>
      <c r="F4" s="12"/>
    </row>
    <row r="5" spans="1:20" s="9" customFormat="1" ht="11.25" x14ac:dyDescent="0.2">
      <c r="A5" s="9" t="str">
        <f>+VLOOKUP(A3,'Old Data'!A1:CM88,3,FALSE)</f>
        <v>Newberry</v>
      </c>
      <c r="C5" s="12"/>
      <c r="E5" s="12"/>
      <c r="F5" s="12"/>
      <c r="G5" s="12" t="str">
        <f>+VLOOKUP(A3,'Old Data'!A1:CM88,4,FALSE)</f>
        <v>SC</v>
      </c>
      <c r="H5" s="12"/>
      <c r="I5" s="12">
        <f>+VLOOKUP(A3,'Old Data'!A1:CM88,5,FALSE)</f>
        <v>29108</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0.125</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0.71879999999999999</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0.98245614035087703</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0.97368421052631604</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0.98245614035087703</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0.95121951219512202</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0.13207547169811301</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0.55555555555555602</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9.4339622641509399E-2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2.7777777777777801E-2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0.31578947368421101</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0.33333333333333298</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1</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0.266401685662293</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0.37316561844863699</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0.28590785907859101</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0.235609615937171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0.211215932914046</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0.356829573934837</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0.70309999999999995</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0.1905</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1.12E-2</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0.8</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0.2</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0.4</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0.42859999999999998</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0.28570000000000001</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9.5200000000000007E-2</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9.5200000000000007E-2</v>
      </c>
      <c r="H130" s="66" t="s">
        <v>1</v>
      </c>
      <c r="I130" s="11" t="str">
        <f>IF(OR(G130="NA",G130="**"),"NA",IF(G130&gt;C130,"Not Met","Met"))</f>
        <v>Not 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0.88570000000000004</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0.58140000000000003</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0.89470000000000005</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0.4884</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0.9677</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0.6744</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9.0899999999999995E-2</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0.63639999999999997</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0.72729999999999995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zm41e2H57UqzETYSL4NnC8Ib+GFlBV3TnxjgSHsCZXERXv3VoF0DUn3dAGgvtbrRrYmr6lxMyLt7gM/SBcm0GA==" saltValue="eEdie631PFFwV4mT2F4LN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78</v>
      </c>
      <c r="B3" s="36"/>
      <c r="C3" s="36"/>
      <c r="D3" s="36"/>
      <c r="E3" s="36"/>
      <c r="F3" s="36"/>
      <c r="G3" s="36"/>
      <c r="H3" s="10"/>
      <c r="I3" s="10"/>
      <c r="J3" s="10"/>
    </row>
    <row r="4" spans="1:10" x14ac:dyDescent="0.2">
      <c r="A4" s="9" t="str">
        <f>VLOOKUP(A3,Data!A1:AQ88,2,FALSE)</f>
        <v>P. O. Box 718</v>
      </c>
    </row>
    <row r="5" spans="1:10" x14ac:dyDescent="0.2">
      <c r="A5" s="9" t="str">
        <f>VLOOKUP(A3,Data!A1:AQ88,3,FALSE)</f>
        <v>Newberry</v>
      </c>
      <c r="C5" s="12" t="str">
        <f>VLOOKUP(A3,Data!A1:AQ88,4,FALSE)</f>
        <v>SC</v>
      </c>
      <c r="D5" s="12">
        <f>VLOOKUP(A3,Data!A1:AQ88,5,FALSE)</f>
        <v>29108</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1</v>
      </c>
      <c r="C16" s="92" t="str">
        <f>IF(B16=0,"2 or more consecutive years of findings of non-compliance (current year and previous year(s))",
IF(B16=1,"Findings of non-compliance in the current year",
IF(B16=2,"No findings of non-compliance","")))</f>
        <v>Findings of non-compliance in the current year</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16</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0.125</v>
      </c>
      <c r="E34" s="23"/>
      <c r="F34" s="23"/>
      <c r="G34" s="23"/>
      <c r="H34" s="23"/>
      <c r="I34" s="23"/>
      <c r="J34" s="23"/>
    </row>
    <row r="35" spans="1:10" ht="11.25" customHeight="1" x14ac:dyDescent="0.2">
      <c r="A35" s="19"/>
      <c r="B35" s="43" t="s">
        <v>466</v>
      </c>
      <c r="C35" s="56">
        <f>VLOOKUP(A3,Data!A1:AQ88,17,FALSE)</f>
        <v>0</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0.1905</v>
      </c>
      <c r="E42" s="23"/>
      <c r="F42" s="23"/>
      <c r="G42" s="23"/>
      <c r="H42" s="23"/>
      <c r="I42" s="23"/>
      <c r="J42" s="23"/>
    </row>
    <row r="43" spans="1:10" ht="11.25" customHeight="1" x14ac:dyDescent="0.2">
      <c r="A43" s="19"/>
      <c r="B43" s="43" t="s">
        <v>466</v>
      </c>
      <c r="C43" s="56">
        <f>VLOOKUP(A3,Data!A1:AQ88,20,FALSE)</f>
        <v>0.125</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4.7600000000000003E-2</v>
      </c>
      <c r="E50" s="23"/>
      <c r="F50" s="23"/>
      <c r="G50" s="23"/>
      <c r="H50" s="23"/>
      <c r="I50" s="23"/>
      <c r="J50" s="23"/>
    </row>
    <row r="51" spans="1:10" ht="11.25" customHeight="1" x14ac:dyDescent="0.2">
      <c r="A51" s="19"/>
      <c r="B51" s="43" t="s">
        <v>466</v>
      </c>
      <c r="C51" s="56">
        <f>VLOOKUP(A3,Data!A1:AQ88,23,FALSE)</f>
        <v>0</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0.23530000000000001</v>
      </c>
      <c r="E58" s="23"/>
      <c r="F58" s="23"/>
      <c r="G58" s="23"/>
      <c r="H58" s="23"/>
      <c r="I58" s="23"/>
      <c r="J58" s="23"/>
    </row>
    <row r="59" spans="1:10" ht="11.25" customHeight="1" x14ac:dyDescent="0.2">
      <c r="A59" s="19"/>
      <c r="B59" s="43" t="s">
        <v>466</v>
      </c>
      <c r="C59" s="56">
        <f>VLOOKUP(A3,Data!A1:AQ88,26,FALSE)</f>
        <v>0.1071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6.9800000000000001E-2</v>
      </c>
      <c r="E66" s="23"/>
      <c r="F66" s="23"/>
      <c r="G66" s="23"/>
      <c r="H66" s="23"/>
      <c r="I66" s="23"/>
      <c r="J66" s="23"/>
    </row>
    <row r="67" spans="1:10" ht="11.25" customHeight="1" x14ac:dyDescent="0.2">
      <c r="A67" s="19"/>
      <c r="B67" s="43" t="s">
        <v>466</v>
      </c>
      <c r="C67" s="56">
        <f>VLOOKUP(A3,Data!A1:AQ88,29,FALSE)</f>
        <v>2.7E-2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0.72699999999999998</v>
      </c>
      <c r="E74" s="23"/>
      <c r="F74" s="23"/>
      <c r="G74" s="23"/>
      <c r="H74" s="23"/>
      <c r="I74" s="23"/>
      <c r="J74" s="23"/>
    </row>
    <row r="75" spans="1:10" ht="11.25" customHeight="1" x14ac:dyDescent="0.2">
      <c r="A75" s="19"/>
      <c r="B75" s="43" t="s">
        <v>466</v>
      </c>
      <c r="C75" s="56">
        <f>VLOOKUP(A3,Data!A1:AQ88,32,FALSE)</f>
        <v>0.70309999999999995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9.0499999999999997E-2</v>
      </c>
      <c r="E90" s="23"/>
      <c r="F90" s="23"/>
      <c r="G90" s="23"/>
      <c r="H90" s="23"/>
      <c r="I90" s="23"/>
      <c r="J90" s="23"/>
    </row>
    <row r="91" spans="1:10" ht="11.25" customHeight="1" x14ac:dyDescent="0.2">
      <c r="A91" s="19"/>
      <c r="B91" s="43" t="s">
        <v>466</v>
      </c>
      <c r="C91" s="56">
        <f>VLOOKUP(A3,Data!A1:AQ88,38,FALSE)</f>
        <v>0.157</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0.14299999999999999</v>
      </c>
      <c r="E98" s="23"/>
      <c r="F98" s="23"/>
      <c r="G98" s="23"/>
      <c r="H98" s="23"/>
      <c r="I98" s="23"/>
      <c r="J98" s="23"/>
    </row>
    <row r="99" spans="1:10" ht="11.25" customHeight="1" x14ac:dyDescent="0.2">
      <c r="A99" s="19"/>
      <c r="B99" s="43" t="s">
        <v>466</v>
      </c>
      <c r="C99" s="56">
        <f>VLOOKUP(A3,Data!A1:AQ88,41,FALSE)</f>
        <v>0.17899999999999999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7</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16</v>
      </c>
      <c r="B104" s="99">
        <f>B101</f>
        <v>7</v>
      </c>
      <c r="C104" s="63">
        <f>VLOOKUP(A3,Data!A1:AQ88,42,FALSE)</f>
        <v>1</v>
      </c>
      <c r="D104" s="99">
        <f>SUM(A104:C104)</f>
        <v>24</v>
      </c>
      <c r="E104" s="63">
        <f>VLOOKUP(A3,Data!A1:AQ88,43,FALSE)</f>
        <v>40</v>
      </c>
      <c r="F104" s="33">
        <f>D104/E104</f>
        <v>0.6</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KdoTbXwM8wRCM/7H6QReL2WXOPGplAc+DkW/r4KuBCZy+2uGNEMyU6ttmNY60po1rl5OHRtagypLtevGOE0hFQ==" saltValue="bUABW49dMIFFFfByWwnM8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2023-09-06T13:28:49Z</dcterms:modified>
</cp:coreProperties>
</file>