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F6320B4A-BBE3-48E7-8AFA-A9CF7C772914}" xr6:coauthVersionLast="47" xr6:coauthVersionMax="47" xr10:uidLastSave="{00000000-0000-0000-0000-000000000000}"/>
  <workbookProtection workbookAlgorithmName="SHA-512" workbookHashValue="Zzo/snD/aN5iHZ5k2hAJ/SDIqTcmVIHJLOYIztwxHuC1HQWYJpeS5UDzyIjCJOBuSO61+z984/DKfGYr/FXESw==" workbookSaltValue="Wo80Gd/qqbFbIJe11fP0LQ=="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<sst xmlns="http://schemas.openxmlformats.org/spreadsheetml/2006/main" count="2581" uniqueCount="605">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</sst>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0.33329999999999999</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0.63890000000000002</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0.94289999999999996</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0.52780000000000005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0.96150000000000002</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0.85189999999999999</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0.36670000000000003</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0.83330000000000004</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0.98039215686274495</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0.83330000000000004</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0.94047619047619002</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0.98039215686274495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0.93396226415094297</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0.107142857142857</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3.5714285714285698E-2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0.3</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5.95238095238095E-2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7.14285714285714E-3</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0.108695652173913</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0.54545454545454497</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0.75</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0.3</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0.22222222222222199</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0.54545454545454497</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0.3</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0.28571428571428598</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0.144082633053221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0.22412823397075399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0.45788288288288298</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6.4250700280112094E-2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8.3868378812198996E-2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0.125</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0.25940986341361699</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0.46779999999999999</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0.3488</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0.93279999999999996</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0.2727</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0.63639999999999997</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0.77270000000000005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0.4375</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0.3</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6.25E-2</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1.0500000000000001E-2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0.23330000000000001</c:v>
                </c:pt>
                <c:pt idx="3">
                  <c:v>0.15790000000000001</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0.1</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0.3</c:v>
                </c:pt>
                <c:pt idx="3">
                  <c:v>0.29409999999999997</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0.1429</c:v>
                </c:pt>
                <c:pt idx="3">
                  <c:v>0.1158</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0.49930000000000002</c:v>
                </c:pt>
                <c:pt idx="3">
                  <c:v>0.46779999999999999</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0</c:v>
                </c:pt>
                <c:pt idx="3">
                  <c:v>4.9700000000000001E-2</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0.11</c:v>
                </c:pt>
                <c:pt idx="3">
                  <c:v>0.188</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0.15</c:v>
                </c:pt>
                <c:pt idx="3">
                  <c:v>5.33E-2</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0.0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4.7600000000000003E-2</c:v>
                </c:pt>
                <c:pt idx="3">
                  <c:v>2.6700000000000002E-2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6.25E-2</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0.96879999999999999</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80</v>
      </c>
      <c r="B3" s="36"/>
      <c r="C3" s="36"/>
      <c r="D3" s="36"/>
      <c r="E3" s="36"/>
      <c r="F3" s="36"/>
      <c r="G3" s="36"/>
      <c r="H3" s="36"/>
      <c r="I3" s="36"/>
      <c r="J3" s="36"/>
      <c r="K3" s="36"/>
      <c r="L3" s="36"/>
      <c r="M3" s="36"/>
      <c r="N3" s="36"/>
      <c r="O3" s="10"/>
    </row>
    <row r="4" spans="1:20" s="9" customFormat="1" ht="11.25" x14ac:dyDescent="0.2">
      <c r="A4" s="9" t="str">
        <f>+VLOOKUP(A3,'Old Data'!A1:CM88,2,FALSE)</f>
        <v>102 Founder's Court</v>
      </c>
      <c r="C4" s="12"/>
      <c r="E4" s="12"/>
      <c r="F4" s="12"/>
    </row>
    <row r="5" spans="1:20" s="9" customFormat="1" ht="11.25" x14ac:dyDescent="0.2">
      <c r="A5" s="9" t="str">
        <f>+VLOOKUP(A3,'Old Data'!A1:CM88,3,FALSE)</f>
        <v>Orangeburg</v>
      </c>
      <c r="C5" s="12"/>
      <c r="E5" s="12"/>
      <c r="F5" s="12"/>
      <c r="G5" s="12" t="str">
        <f>+VLOOKUP(A3,'Old Data'!A1:CM88,4,FALSE)</f>
        <v>SC</v>
      </c>
      <c r="H5" s="12"/>
      <c r="I5" s="12">
        <f>+VLOOKUP(A3,'Old Data'!A1:CM88,5,FALSE)</f>
        <v>29118</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0.3</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0.4375</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0.98039215686274495</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0.94047619047619002</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0.98039215686274495</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0.93396226415094297</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0.107142857142857</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3.5714285714285698E-2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0.3</v>
      </c>
      <c r="H43" s="66" t="s">
        <v>1</v>
      </c>
      <c r="I43" s="11" t="str">
        <f>IF(OR(G43="NA",G43="**"),"NA",IF(G43&lt;C43,"Not Met","Met"))</f>
        <v>Not 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5.95238095238095E-2</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7.14285714285714E-3</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0.108695652173913</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0.54545454545454497</v>
      </c>
      <c r="H55" s="66" t="s">
        <v>1</v>
      </c>
      <c r="I55" s="11" t="str">
        <f>IF(OR(G55="NA",G55="**"),"NA",IF(G55&lt;C55,"Not Met","Met"))</f>
        <v>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0.3</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0.22222222222222199</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0.54545454545454497</v>
      </c>
      <c r="H64" s="66" t="s">
        <v>1</v>
      </c>
      <c r="I64" s="11" t="str">
        <f>IF(OR(G64="NA",G64="**"),"NA",IF(G64&lt;C64,"Not Met","Met"))</f>
        <v>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0.3</v>
      </c>
      <c r="H67" s="66" t="s">
        <v>1</v>
      </c>
      <c r="I67" s="11" t="str">
        <f>IF(OR(G67="NA",G67="**"),"NA",IF(G67&lt;C67,"Not Met","Met"))</f>
        <v>Not 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0.28571428571428598</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0.144082633053221</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0.22412823397075399</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0.45788288288288298</v>
      </c>
      <c r="H79" s="66" t="s">
        <v>1</v>
      </c>
      <c r="I79" s="11" t="str">
        <f>IF(OR(G79="NA",G79="**"),"NA",IF(G79&gt;C79,"Not Met","Met"))</f>
        <v>Not 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6.4250700280112094E-2</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8.3868378812198996E-2</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0.25940986341361699</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0.46779999999999999</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0.3488</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1.0500000000000001E-2</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0.33329999999999999</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0.36670000000000003</v>
      </c>
      <c r="H112" s="66" t="s">
        <v>1</v>
      </c>
      <c r="I112" s="11" t="str">
        <f t="shared" ref="I112:I180" si="3">IF(OR(G112="NA",G112="**"),"NA",IF(G112&lt;C112,"Not Met","Met"))</f>
        <v>Not 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0.83330000000000004</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0.75</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0.125</v>
      </c>
      <c r="H121" s="66" t="s">
        <v>1</v>
      </c>
      <c r="I121" s="11" t="str">
        <f>IF(OR(G121="NA",G121="**"),"NA",IF(G121&gt;C121,"Not Met","Met"))</f>
        <v>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6.25E-2</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0.1</v>
      </c>
      <c r="H127" s="66" t="s">
        <v>1</v>
      </c>
      <c r="I127" s="11" t="str">
        <f>IF(OR(G127="NA",G127="**"),"NA",IF(G127&gt;C127,"Not Met","Met"))</f>
        <v>Not 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6.25E-2</v>
      </c>
      <c r="H130" s="66" t="s">
        <v>1</v>
      </c>
      <c r="I130" s="11" t="str">
        <f>IF(OR(G130="NA",G130="**"),"NA",IF(G130&gt;C130,"Not Met","Met"))</f>
        <v>Not 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0.96879999999999999</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0.63890000000000002</v>
      </c>
      <c r="H142" s="66" t="s">
        <v>1</v>
      </c>
      <c r="I142" s="11" t="str">
        <f t="shared" si="3"/>
        <v>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0.94289999999999996</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0.52780000000000005</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0.96150000000000002</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0.83330000000000004</v>
      </c>
      <c r="H158" s="66" t="s">
        <v>1</v>
      </c>
      <c r="I158" s="11" t="str">
        <f t="shared" si="3"/>
        <v>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0.93279999999999996</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0.85189999999999999</v>
      </c>
      <c r="H180" s="66" t="s">
        <v>1</v>
      </c>
      <c r="I180" s="11" t="str">
        <f t="shared" si="3"/>
        <v>Not 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0.2727</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0.63639999999999997</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0.77270000000000005</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7f9jblWyy6YZbrIjlEtIV/Qie79gYKoxMT3HUh1xtkNaEGNAV+LDHg/jJIxKaZyZbBPbweRh9daj8Lg+KzAS8g==" saltValue="M7r4EC4xCJ0Ae8q40S86j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80</v>
      </c>
      <c r="B3" s="36"/>
      <c r="C3" s="36"/>
      <c r="D3" s="36"/>
      <c r="E3" s="36"/>
      <c r="F3" s="36"/>
      <c r="G3" s="36"/>
      <c r="H3" s="10"/>
      <c r="I3" s="10"/>
      <c r="J3" s="10"/>
    </row>
    <row r="4" spans="1:10" x14ac:dyDescent="0.2">
      <c r="A4" s="9" t="str">
        <f>VLOOKUP(A3,Data!A1:AQ88,2,FALSE)</f>
        <v>102 Founder's Court</v>
      </c>
    </row>
    <row r="5" spans="1:10" x14ac:dyDescent="0.2">
      <c r="A5" s="9" t="str">
        <f>VLOOKUP(A3,Data!A1:AQ88,3,FALSE)</f>
        <v>Orangeburg</v>
      </c>
      <c r="C5" s="12" t="str">
        <f>VLOOKUP(A3,Data!A1:AQ88,4,FALSE)</f>
        <v>SC</v>
      </c>
      <c r="D5" s="12">
        <f>VLOOKUP(A3,Data!A1:AQ88,5,FALSE)</f>
        <v>29118</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1</v>
      </c>
      <c r="C20" s="92" t="str">
        <f>IF(B20=0,"2 or more consecutive years of findings of non-compliance (current year and previous year(s))",
IF(B20=1,"Findings of non-compliance in the current year",
IF(B20=2,"No findings of non-compliance","")))</f>
        <v>Findings of non-compliance in the current year</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16</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0</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and did not improve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0.3</v>
      </c>
      <c r="E34" s="23"/>
      <c r="F34" s="23"/>
      <c r="G34" s="23"/>
      <c r="H34" s="23"/>
      <c r="I34" s="23"/>
      <c r="J34" s="23"/>
    </row>
    <row r="35" spans="1:10" ht="11.25" customHeight="1" x14ac:dyDescent="0.2">
      <c r="A35" s="19"/>
      <c r="B35" s="43" t="s">
        <v>466</v>
      </c>
      <c r="C35" s="56">
        <f>VLOOKUP(A3,Data!A1:AQ88,17,FALSE)</f>
        <v>0.29409999999999997</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and did not improve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0.23330000000000001</v>
      </c>
      <c r="E42" s="23"/>
      <c r="F42" s="23"/>
      <c r="G42" s="23"/>
      <c r="H42" s="23"/>
      <c r="I42" s="23"/>
      <c r="J42" s="23"/>
    </row>
    <row r="43" spans="1:10" ht="11.25" customHeight="1" x14ac:dyDescent="0.2">
      <c r="A43" s="19"/>
      <c r="B43" s="43" t="s">
        <v>466</v>
      </c>
      <c r="C43" s="56">
        <f>VLOOKUP(A3,Data!A1:AQ88,20,FALSE)</f>
        <v>0.15790000000000001</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and did not improve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0.15</v>
      </c>
      <c r="E50" s="23"/>
      <c r="F50" s="23"/>
      <c r="G50" s="23"/>
      <c r="H50" s="23"/>
      <c r="I50" s="23"/>
      <c r="J50" s="23"/>
    </row>
    <row r="51" spans="1:10" ht="11.25" customHeight="1" x14ac:dyDescent="0.2">
      <c r="A51" s="19"/>
      <c r="B51" s="43" t="s">
        <v>466</v>
      </c>
      <c r="C51" s="56">
        <f>VLOOKUP(A3,Data!A1:AQ88,23,FALSE)</f>
        <v>5.33E-2</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and did not improve</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0.1429</v>
      </c>
      <c r="E58" s="23"/>
      <c r="F58" s="23"/>
      <c r="G58" s="23"/>
      <c r="H58" s="23"/>
      <c r="I58" s="23"/>
      <c r="J58" s="23"/>
    </row>
    <row r="59" spans="1:10" ht="11.25" customHeight="1" x14ac:dyDescent="0.2">
      <c r="A59" s="19"/>
      <c r="B59" s="43" t="s">
        <v>466</v>
      </c>
      <c r="C59" s="56">
        <f>VLOOKUP(A3,Data!A1:AQ88,26,FALSE)</f>
        <v>0.1158</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4.7600000000000003E-2</v>
      </c>
      <c r="E66" s="23"/>
      <c r="F66" s="23"/>
      <c r="G66" s="23"/>
      <c r="H66" s="23"/>
      <c r="I66" s="23"/>
      <c r="J66" s="23"/>
    </row>
    <row r="67" spans="1:10" ht="11.25" customHeight="1" x14ac:dyDescent="0.2">
      <c r="A67" s="19"/>
      <c r="B67" s="43" t="s">
        <v>466</v>
      </c>
      <c r="C67" s="56">
        <f>VLOOKUP(A3,Data!A1:AQ88,29,FALSE)</f>
        <v>2.6700000000000002E-2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0</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and did not improve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0.49930000000000002</v>
      </c>
      <c r="E74" s="23"/>
      <c r="F74" s="23"/>
      <c r="G74" s="23"/>
      <c r="H74" s="23"/>
      <c r="I74" s="23"/>
      <c r="J74" s="23"/>
    </row>
    <row r="75" spans="1:10" ht="11.25" customHeight="1" x14ac:dyDescent="0.2">
      <c r="A75" s="19"/>
      <c r="B75" s="43" t="s">
        <v>466</v>
      </c>
      <c r="C75" s="56">
        <f>VLOOKUP(A3,Data!A1:AQ88,32,FALSE)</f>
        <v>0.46779999999999999</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3</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current state target</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0</v>
      </c>
      <c r="E90" s="23"/>
      <c r="F90" s="23"/>
      <c r="G90" s="23"/>
      <c r="H90" s="23"/>
      <c r="I90" s="23"/>
      <c r="J90" s="23"/>
    </row>
    <row r="91" spans="1:10" ht="11.25" customHeight="1" x14ac:dyDescent="0.2">
      <c r="A91" s="19"/>
      <c r="B91" s="43" t="s">
        <v>466</v>
      </c>
      <c r="C91" s="56">
        <f>VLOOKUP(A3,Data!A1:AQ88,38,FALSE)</f>
        <v>4.9700000000000001E-2</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1</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but improved since last year</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0.11</v>
      </c>
      <c r="E98" s="23"/>
      <c r="F98" s="23"/>
      <c r="G98" s="23"/>
      <c r="H98" s="23"/>
      <c r="I98" s="23"/>
      <c r="J98" s="23"/>
    </row>
    <row r="99" spans="1:10" ht="11.25" customHeight="1" x14ac:dyDescent="0.2">
      <c r="A99" s="19"/>
      <c r="B99" s="43" t="s">
        <v>466</v>
      </c>
      <c r="C99" s="56">
        <f>VLOOKUP(A3,Data!A1:AQ88,41,FALSE)</f>
        <v>0.188</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7</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16</v>
      </c>
      <c r="B104" s="99">
        <f>B101</f>
        <v>7</v>
      </c>
      <c r="C104" s="63">
        <f>VLOOKUP(A3,Data!A1:AQ88,42,FALSE)</f>
        <v>1</v>
      </c>
      <c r="D104" s="99">
        <f>SUM(A104:C104)</f>
        <v>24</v>
      </c>
      <c r="E104" s="63">
        <f>VLOOKUP(A3,Data!A1:AQ88,43,FALSE)</f>
        <v>40</v>
      </c>
      <c r="F104" s="33">
        <f>D104/E104</f>
        <v>0.6</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lGmZCvR0XTZkSkGFBG0Hy1UHsy8bAVQT6TDc+DjGfL422Abj8UqHpFLGzl1ks6RJ6SZEZVoickGCrX6WWHVACA==" saltValue="y+T7zYwm/NOX55hL22ahhw=="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2023-09-06T13:28:52Z</dcterms:modified>
</cp:coreProperties>
</file>